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5480" windowHeight="8760"/>
  </bookViews>
  <sheets>
    <sheet name="Exercicio_1 - Balanço Sucessivo" sheetId="4" r:id="rId1"/>
    <sheet name="DFC - Método Direto_1" sheetId="1" r:id="rId2"/>
    <sheet name="DFC - Método Indireto_1" sheetId="2" r:id="rId3"/>
    <sheet name="EXERCICIO_2" sheetId="5" r:id="rId4"/>
    <sheet name="DFC - Método Direto_2" sheetId="6" r:id="rId5"/>
    <sheet name="DFC - Método Indireto_2" sheetId="7" r:id="rId6"/>
  </sheets>
  <externalReferences>
    <externalReference r:id="rId7"/>
  </externalReferences>
  <definedNames>
    <definedName name="_xlnm.Print_Area" localSheetId="1">'DFC - Método Direto_1'!$A$1:$B$33</definedName>
    <definedName name="_xlnm.Print_Area" localSheetId="4">'DFC - Método Direto_2'!$A$1:$B$33</definedName>
    <definedName name="_xlnm.Print_Area" localSheetId="2">'DFC - Método Indireto_1'!$A$1:$B$33</definedName>
    <definedName name="_xlnm.Print_Area" localSheetId="5">'DFC - Método Indireto_2'!$A$1:$B$35</definedName>
  </definedNames>
  <calcPr calcId="125725"/>
</workbook>
</file>

<file path=xl/calcChain.xml><?xml version="1.0" encoding="utf-8"?>
<calcChain xmlns="http://schemas.openxmlformats.org/spreadsheetml/2006/main">
  <c r="B34" i="7"/>
  <c r="B27" i="6" s="1"/>
  <c r="B20" i="7"/>
  <c r="B13" i="6" s="1"/>
  <c r="B22" i="7"/>
  <c r="B15" i="6" s="1"/>
  <c r="B17"/>
  <c r="B23" i="7"/>
  <c r="B16" i="6" s="1"/>
  <c r="AI7" i="5"/>
  <c r="AL7"/>
  <c r="F8"/>
  <c r="G8"/>
  <c r="H8" s="1"/>
  <c r="M36"/>
  <c r="N36" s="1"/>
  <c r="M37"/>
  <c r="N37" s="1"/>
  <c r="O37" s="1"/>
  <c r="P37" s="1"/>
  <c r="Q37" s="1"/>
  <c r="R37" s="1"/>
  <c r="S37" s="1"/>
  <c r="T37" s="1"/>
  <c r="U37" s="1"/>
  <c r="V37" s="1"/>
  <c r="W37" s="1"/>
  <c r="X37" s="1"/>
  <c r="Y37" s="1"/>
  <c r="Z37" s="1"/>
  <c r="AA37" s="1"/>
  <c r="AB37" s="1"/>
  <c r="AC37" s="1"/>
  <c r="AD37" s="1"/>
  <c r="S41"/>
  <c r="T41"/>
  <c r="U41" s="1"/>
  <c r="V41" s="1"/>
  <c r="W41" s="1"/>
  <c r="X41" s="1"/>
  <c r="Y41" s="1"/>
  <c r="Z41" s="1"/>
  <c r="AA41" s="1"/>
  <c r="AB41" s="1"/>
  <c r="AC41" s="1"/>
  <c r="AD41" s="1"/>
  <c r="K17"/>
  <c r="L17"/>
  <c r="M17" s="1"/>
  <c r="N17" s="1"/>
  <c r="I18"/>
  <c r="J18"/>
  <c r="K18" s="1"/>
  <c r="L18" s="1"/>
  <c r="M18" s="1"/>
  <c r="N18" s="1"/>
  <c r="O18" s="1"/>
  <c r="P18" s="1"/>
  <c r="Q18" s="1"/>
  <c r="R18" s="1"/>
  <c r="S18" s="1"/>
  <c r="U22"/>
  <c r="J19"/>
  <c r="K19" s="1"/>
  <c r="L19" s="1"/>
  <c r="M19" s="1"/>
  <c r="N19" s="1"/>
  <c r="O19" s="1"/>
  <c r="P19" s="1"/>
  <c r="Q19" s="1"/>
  <c r="R19" s="1"/>
  <c r="S19" s="1"/>
  <c r="T19" s="1"/>
  <c r="U19" s="1"/>
  <c r="V19" s="1"/>
  <c r="W19" s="1"/>
  <c r="X19" s="1"/>
  <c r="Y19" s="1"/>
  <c r="Z19" s="1"/>
  <c r="AA19" s="1"/>
  <c r="AB19" s="1"/>
  <c r="AC19" s="1"/>
  <c r="AD19" s="1"/>
  <c r="AE19" s="1"/>
  <c r="AF19" s="1"/>
  <c r="Y43"/>
  <c r="Z43"/>
  <c r="AA43" s="1"/>
  <c r="AB43" s="1"/>
  <c r="AC43" s="1"/>
  <c r="AD43" s="1"/>
  <c r="B9" i="7" s="1"/>
  <c r="AD44" i="5"/>
  <c r="B10" i="7" s="1"/>
  <c r="G9" i="5"/>
  <c r="H9"/>
  <c r="I9" s="1"/>
  <c r="J9" s="1"/>
  <c r="K9" s="1"/>
  <c r="L9" s="1"/>
  <c r="M9" s="1"/>
  <c r="N9" s="1"/>
  <c r="O9" s="1"/>
  <c r="P9" s="1"/>
  <c r="K25"/>
  <c r="L25"/>
  <c r="M25" s="1"/>
  <c r="AL9"/>
  <c r="L10"/>
  <c r="M10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B13" i="7" s="1"/>
  <c r="AI12" i="5"/>
  <c r="N13"/>
  <c r="B19" i="7" s="1"/>
  <c r="P14" i="5"/>
  <c r="Q14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Q15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V22"/>
  <c r="W22"/>
  <c r="X22" s="1"/>
  <c r="Y22" s="1"/>
  <c r="Z22" s="1"/>
  <c r="AA22" s="1"/>
  <c r="AB22" s="1"/>
  <c r="AC22" s="1"/>
  <c r="AD22" s="1"/>
  <c r="AE22" s="1"/>
  <c r="AF22" s="1"/>
  <c r="G23"/>
  <c r="R25"/>
  <c r="X25"/>
  <c r="Y25"/>
  <c r="Z25" s="1"/>
  <c r="AA25" s="1"/>
  <c r="AB25" s="1"/>
  <c r="AC25" s="1"/>
  <c r="AD25" s="1"/>
  <c r="AE25" s="1"/>
  <c r="AF25" s="1"/>
  <c r="B14" i="7" s="1"/>
  <c r="G26" i="5"/>
  <c r="H26" s="1"/>
  <c r="I26" s="1"/>
  <c r="S27"/>
  <c r="T27" s="1"/>
  <c r="U27" s="1"/>
  <c r="V27" s="1"/>
  <c r="W27" s="1"/>
  <c r="X27" s="1"/>
  <c r="Y27" s="1"/>
  <c r="Z27" s="1"/>
  <c r="AA27" s="1"/>
  <c r="AB27" s="1"/>
  <c r="AC27" s="1"/>
  <c r="AD27" s="1"/>
  <c r="AE27" s="1"/>
  <c r="AF27" s="1"/>
  <c r="B15" i="7" s="1"/>
  <c r="H29" i="5"/>
  <c r="I29" s="1"/>
  <c r="J29" s="1"/>
  <c r="K29" s="1"/>
  <c r="L29" s="1"/>
  <c r="M29" s="1"/>
  <c r="N29" s="1"/>
  <c r="O29" s="1"/>
  <c r="P29" s="1"/>
  <c r="Q29" s="1"/>
  <c r="R29" s="1"/>
  <c r="S29" s="1"/>
  <c r="T29" s="1"/>
  <c r="U29" s="1"/>
  <c r="V29" s="1"/>
  <c r="W29" s="1"/>
  <c r="X29" s="1"/>
  <c r="Y29" s="1"/>
  <c r="Z29" s="1"/>
  <c r="AA29" s="1"/>
  <c r="AB29" s="1"/>
  <c r="AC29" s="1"/>
  <c r="AD29" s="1"/>
  <c r="AE29" s="1"/>
  <c r="AF29" s="1"/>
  <c r="G39"/>
  <c r="G45" s="1"/>
  <c r="G31" s="1"/>
  <c r="G32" s="1"/>
  <c r="H39"/>
  <c r="H45"/>
  <c r="H31" s="1"/>
  <c r="H32" s="1"/>
  <c r="I39"/>
  <c r="I45" s="1"/>
  <c r="I31" s="1"/>
  <c r="J39"/>
  <c r="J45"/>
  <c r="J31" s="1"/>
  <c r="K39"/>
  <c r="K45" s="1"/>
  <c r="K31" s="1"/>
  <c r="L39"/>
  <c r="L45"/>
  <c r="L31" s="1"/>
  <c r="M39"/>
  <c r="M45" s="1"/>
  <c r="M31" s="1"/>
  <c r="U38"/>
  <c r="U40"/>
  <c r="U43"/>
  <c r="U44"/>
  <c r="Z44"/>
  <c r="AA44"/>
  <c r="AB44"/>
  <c r="AC44"/>
  <c r="G33"/>
  <c r="W7" i="4"/>
  <c r="Z7" s="1"/>
  <c r="F8"/>
  <c r="G8"/>
  <c r="H8"/>
  <c r="I8" s="1"/>
  <c r="K30"/>
  <c r="L30"/>
  <c r="M30" s="1"/>
  <c r="L31"/>
  <c r="M31"/>
  <c r="N31" s="1"/>
  <c r="O31" s="1"/>
  <c r="P31" s="1"/>
  <c r="Q31" s="1"/>
  <c r="R31" s="1"/>
  <c r="I16"/>
  <c r="J16"/>
  <c r="K16" s="1"/>
  <c r="L16" s="1"/>
  <c r="M16" s="1"/>
  <c r="P35"/>
  <c r="Q35" s="1"/>
  <c r="R35" s="1"/>
  <c r="R36"/>
  <c r="G9"/>
  <c r="H9"/>
  <c r="I9" s="1"/>
  <c r="J9" s="1"/>
  <c r="K9" s="1"/>
  <c r="L9" s="1"/>
  <c r="M9" s="1"/>
  <c r="N9" s="1"/>
  <c r="O9" s="1"/>
  <c r="P9" s="1"/>
  <c r="Q9" s="1"/>
  <c r="Z9"/>
  <c r="J10"/>
  <c r="K10"/>
  <c r="L10" s="1"/>
  <c r="M10" s="1"/>
  <c r="N10" s="1"/>
  <c r="O10" s="1"/>
  <c r="P10" s="1"/>
  <c r="Q10" s="1"/>
  <c r="W12"/>
  <c r="M13"/>
  <c r="N13" s="1"/>
  <c r="O13" s="1"/>
  <c r="P13" s="1"/>
  <c r="Q13" s="1"/>
  <c r="R13" s="1"/>
  <c r="S13" s="1"/>
  <c r="T13" s="1"/>
  <c r="N14"/>
  <c r="O14" s="1"/>
  <c r="P14" s="1"/>
  <c r="Q14" s="1"/>
  <c r="G18"/>
  <c r="H18"/>
  <c r="J20"/>
  <c r="K20" s="1"/>
  <c r="G21"/>
  <c r="H21"/>
  <c r="I21" s="1"/>
  <c r="H23"/>
  <c r="I23"/>
  <c r="J23" s="1"/>
  <c r="K23" s="1"/>
  <c r="L23" s="1"/>
  <c r="M23" s="1"/>
  <c r="N23" s="1"/>
  <c r="O23" s="1"/>
  <c r="P23" s="1"/>
  <c r="Q23" s="1"/>
  <c r="G32"/>
  <c r="G37"/>
  <c r="G25" s="1"/>
  <c r="G26" s="1"/>
  <c r="G27" s="1"/>
  <c r="H32"/>
  <c r="H37" s="1"/>
  <c r="H25" s="1"/>
  <c r="H26" s="1"/>
  <c r="H27" s="1"/>
  <c r="I32"/>
  <c r="I37"/>
  <c r="I25" s="1"/>
  <c r="J32"/>
  <c r="J37" s="1"/>
  <c r="J25" s="1"/>
  <c r="K32"/>
  <c r="K37"/>
  <c r="K25" s="1"/>
  <c r="L32"/>
  <c r="L37" s="1"/>
  <c r="L25" s="1"/>
  <c r="B6" i="1"/>
  <c r="B9" s="1"/>
  <c r="B18" i="2"/>
  <c r="B12" i="1" s="1"/>
  <c r="B19" i="2"/>
  <c r="B13" i="1" s="1"/>
  <c r="B20" i="2"/>
  <c r="B14" i="1" s="1"/>
  <c r="B15"/>
  <c r="B16"/>
  <c r="B26" i="2"/>
  <c r="B21" i="1"/>
  <c r="B23" s="1"/>
  <c r="B28"/>
  <c r="B27"/>
  <c r="B25"/>
  <c r="B6" i="2"/>
  <c r="B8"/>
  <c r="B9"/>
  <c r="B11"/>
  <c r="B15" s="1"/>
  <c r="B13"/>
  <c r="B14"/>
  <c r="B23"/>
  <c r="B28"/>
  <c r="B33"/>
  <c r="B32"/>
  <c r="B30"/>
  <c r="R14" i="4" l="1"/>
  <c r="S14"/>
  <c r="T14" s="1"/>
  <c r="R9"/>
  <c r="S9"/>
  <c r="N17"/>
  <c r="N16"/>
  <c r="O16" s="1"/>
  <c r="P16" s="1"/>
  <c r="Q16" s="1"/>
  <c r="N30"/>
  <c r="M32"/>
  <c r="M37" s="1"/>
  <c r="M25" s="1"/>
  <c r="J8"/>
  <c r="I18"/>
  <c r="B18" i="1"/>
  <c r="S23" i="4"/>
  <c r="T23" s="1"/>
  <c r="R23"/>
  <c r="J21"/>
  <c r="I26"/>
  <c r="I27" s="1"/>
  <c r="L20"/>
  <c r="S10"/>
  <c r="T10" s="1"/>
  <c r="R10"/>
  <c r="N25" i="5"/>
  <c r="O36"/>
  <c r="N39"/>
  <c r="N45" s="1"/>
  <c r="N31" s="1"/>
  <c r="J26"/>
  <c r="I32"/>
  <c r="B12" i="6"/>
  <c r="S42" i="5"/>
  <c r="S21" s="1"/>
  <c r="T21" s="1"/>
  <c r="U21" s="1"/>
  <c r="V21" s="1"/>
  <c r="W21" s="1"/>
  <c r="X21" s="1"/>
  <c r="Y21" s="1"/>
  <c r="Z21" s="1"/>
  <c r="AA21" s="1"/>
  <c r="T18"/>
  <c r="U18" s="1"/>
  <c r="V18" s="1"/>
  <c r="W18" s="1"/>
  <c r="X18" s="1"/>
  <c r="Y18" s="1"/>
  <c r="Z18" s="1"/>
  <c r="AA18" s="1"/>
  <c r="AB18" s="1"/>
  <c r="AC18" s="1"/>
  <c r="AD18" s="1"/>
  <c r="AE18" s="1"/>
  <c r="AF18" s="1"/>
  <c r="B21" i="7"/>
  <c r="B14" i="6" s="1"/>
  <c r="O17" i="5"/>
  <c r="P17" s="1"/>
  <c r="Q17" s="1"/>
  <c r="R17" s="1"/>
  <c r="S17" s="1"/>
  <c r="I8"/>
  <c r="H23"/>
  <c r="H33" s="1"/>
  <c r="O13"/>
  <c r="P13" s="1"/>
  <c r="Q13" s="1"/>
  <c r="R13" s="1"/>
  <c r="S13" s="1"/>
  <c r="T13" s="1"/>
  <c r="U13" s="1"/>
  <c r="V13" s="1"/>
  <c r="W13" s="1"/>
  <c r="X13" s="1"/>
  <c r="Y13" s="1"/>
  <c r="Z13" s="1"/>
  <c r="AA13" s="1"/>
  <c r="AB13" s="1"/>
  <c r="AC13" s="1"/>
  <c r="AD13" s="1"/>
  <c r="AE13" s="1"/>
  <c r="AF13" s="1"/>
  <c r="B18" i="6" l="1"/>
  <c r="T20" i="5"/>
  <c r="T17"/>
  <c r="U17" s="1"/>
  <c r="V17" s="1"/>
  <c r="W17" s="1"/>
  <c r="X17" s="1"/>
  <c r="Y17" s="1"/>
  <c r="Z17" s="1"/>
  <c r="AA17" s="1"/>
  <c r="AB17" s="1"/>
  <c r="AC17" s="1"/>
  <c r="AD17" s="1"/>
  <c r="AE17" s="1"/>
  <c r="AF17" s="1"/>
  <c r="K8" i="4"/>
  <c r="J18"/>
  <c r="N32"/>
  <c r="O30"/>
  <c r="O17"/>
  <c r="P17" s="1"/>
  <c r="Q17" s="1"/>
  <c r="N34"/>
  <c r="O34" s="1"/>
  <c r="P34" s="1"/>
  <c r="Q34" s="1"/>
  <c r="R34" s="1"/>
  <c r="I23" i="5"/>
  <c r="I33" s="1"/>
  <c r="J8"/>
  <c r="K26"/>
  <c r="J32"/>
  <c r="O39"/>
  <c r="O45" s="1"/>
  <c r="O31" s="1"/>
  <c r="P36"/>
  <c r="O25"/>
  <c r="M20" i="4"/>
  <c r="K21"/>
  <c r="J26"/>
  <c r="J27" s="1"/>
  <c r="S16"/>
  <c r="T16" s="1"/>
  <c r="R16"/>
  <c r="AB21" i="5"/>
  <c r="AC21" s="1"/>
  <c r="AD21" s="1"/>
  <c r="AE21" s="1"/>
  <c r="AF21" s="1"/>
  <c r="B25" i="7"/>
  <c r="Q36" i="5" l="1"/>
  <c r="P39"/>
  <c r="P45" s="1"/>
  <c r="P31" s="1"/>
  <c r="K8"/>
  <c r="J23"/>
  <c r="S17" i="4"/>
  <c r="T17" s="1"/>
  <c r="R17"/>
  <c r="L8"/>
  <c r="K18"/>
  <c r="T42" i="5"/>
  <c r="U42" s="1"/>
  <c r="V42" s="1"/>
  <c r="W42" s="1"/>
  <c r="X42" s="1"/>
  <c r="Y42" s="1"/>
  <c r="Z42" s="1"/>
  <c r="AA42" s="1"/>
  <c r="AB42" s="1"/>
  <c r="AC42" s="1"/>
  <c r="AD42" s="1"/>
  <c r="B8" i="7" s="1"/>
  <c r="U20" i="5"/>
  <c r="V20" s="1"/>
  <c r="W20" s="1"/>
  <c r="X20" s="1"/>
  <c r="Y20" s="1"/>
  <c r="Z20" s="1"/>
  <c r="AA20" s="1"/>
  <c r="AB20" s="1"/>
  <c r="AC20" s="1"/>
  <c r="AD20" s="1"/>
  <c r="AE20" s="1"/>
  <c r="AF20" s="1"/>
  <c r="J33"/>
  <c r="N37" i="4"/>
  <c r="N25" s="1"/>
  <c r="L21"/>
  <c r="K26"/>
  <c r="K27" s="1"/>
  <c r="N20"/>
  <c r="P25" i="5"/>
  <c r="L26"/>
  <c r="K32"/>
  <c r="P30" i="4"/>
  <c r="O32"/>
  <c r="O37" s="1"/>
  <c r="O25" s="1"/>
  <c r="P32" l="1"/>
  <c r="P37" s="1"/>
  <c r="P25" s="1"/>
  <c r="Q30"/>
  <c r="M26" i="5"/>
  <c r="L32"/>
  <c r="Q9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O20" i="4"/>
  <c r="M21"/>
  <c r="L26"/>
  <c r="L27" s="1"/>
  <c r="M8"/>
  <c r="L18"/>
  <c r="K23" i="5"/>
  <c r="L8"/>
  <c r="Q39"/>
  <c r="Q45" s="1"/>
  <c r="Q31" s="1"/>
  <c r="R36"/>
  <c r="K33"/>
  <c r="N8" i="4" l="1"/>
  <c r="M18"/>
  <c r="N21"/>
  <c r="M26"/>
  <c r="M27" s="1"/>
  <c r="P20"/>
  <c r="N26" i="5"/>
  <c r="M32"/>
  <c r="S36"/>
  <c r="R39"/>
  <c r="R45" s="1"/>
  <c r="R31" s="1"/>
  <c r="M8"/>
  <c r="L23"/>
  <c r="R30" i="4"/>
  <c r="R32" s="1"/>
  <c r="R37" s="1"/>
  <c r="Q32"/>
  <c r="Q37" s="1"/>
  <c r="Q25" s="1"/>
  <c r="L33" i="5"/>
  <c r="R25" i="4" l="1"/>
  <c r="Y8"/>
  <c r="S24"/>
  <c r="M23" i="5"/>
  <c r="N8"/>
  <c r="S39"/>
  <c r="S45" s="1"/>
  <c r="S31" s="1"/>
  <c r="T36"/>
  <c r="O26"/>
  <c r="N32"/>
  <c r="Q20" i="4"/>
  <c r="O21"/>
  <c r="N26"/>
  <c r="O8"/>
  <c r="N18"/>
  <c r="M33" i="5"/>
  <c r="U36" l="1"/>
  <c r="T39"/>
  <c r="T45" s="1"/>
  <c r="T31" s="1"/>
  <c r="O8"/>
  <c r="N23"/>
  <c r="X10" i="4"/>
  <c r="T24"/>
  <c r="N27"/>
  <c r="N33" i="5"/>
  <c r="S25" i="4"/>
  <c r="P8"/>
  <c r="O18"/>
  <c r="P21"/>
  <c r="O26"/>
  <c r="O27" s="1"/>
  <c r="R20"/>
  <c r="S20"/>
  <c r="P26" i="5"/>
  <c r="O32"/>
  <c r="Z8" i="4"/>
  <c r="Q26" i="5" l="1"/>
  <c r="P32"/>
  <c r="Y11" i="4"/>
  <c r="Z11" s="1"/>
  <c r="T9"/>
  <c r="Y10"/>
  <c r="Y12" s="1"/>
  <c r="X12"/>
  <c r="Z12" s="1"/>
  <c r="O23" i="5"/>
  <c r="P8"/>
  <c r="V36"/>
  <c r="U39"/>
  <c r="U45" s="1"/>
  <c r="U31" s="1"/>
  <c r="T20" i="4"/>
  <c r="Q21"/>
  <c r="P26"/>
  <c r="Q8"/>
  <c r="P18"/>
  <c r="O33" i="5"/>
  <c r="R8" i="4" l="1"/>
  <c r="R18" s="1"/>
  <c r="Q18"/>
  <c r="S8"/>
  <c r="R21"/>
  <c r="R26" s="1"/>
  <c r="R27" s="1"/>
  <c r="S21"/>
  <c r="Q26"/>
  <c r="Q27" s="1"/>
  <c r="W36" i="5"/>
  <c r="V39"/>
  <c r="V45" s="1"/>
  <c r="V31" s="1"/>
  <c r="R26"/>
  <c r="Q32"/>
  <c r="Q8"/>
  <c r="P23"/>
  <c r="P27" i="4"/>
  <c r="P33" i="5"/>
  <c r="S26" l="1"/>
  <c r="R32"/>
  <c r="W39"/>
  <c r="W45" s="1"/>
  <c r="W31" s="1"/>
  <c r="X36"/>
  <c r="T21" i="4"/>
  <c r="T26" s="1"/>
  <c r="S26"/>
  <c r="T8"/>
  <c r="T18" s="1"/>
  <c r="S18"/>
  <c r="Q33" i="5"/>
  <c r="Q23"/>
  <c r="R8"/>
  <c r="T26" l="1"/>
  <c r="S32"/>
  <c r="T27" i="4"/>
  <c r="S8" i="5"/>
  <c r="R23"/>
  <c r="Y36"/>
  <c r="X39"/>
  <c r="X45" s="1"/>
  <c r="X31" s="1"/>
  <c r="S27" i="4"/>
  <c r="R33" i="5"/>
  <c r="U26" l="1"/>
  <c r="T32"/>
  <c r="Y39"/>
  <c r="Y45" s="1"/>
  <c r="Y31" s="1"/>
  <c r="Z36"/>
  <c r="S23"/>
  <c r="T8"/>
  <c r="S33"/>
  <c r="V26" l="1"/>
  <c r="U32"/>
  <c r="U8"/>
  <c r="T23"/>
  <c r="T33" s="1"/>
  <c r="AA36"/>
  <c r="Z39"/>
  <c r="Z45" s="1"/>
  <c r="Z31" s="1"/>
  <c r="AB36" l="1"/>
  <c r="AA39"/>
  <c r="AA45" s="1"/>
  <c r="AA31" s="1"/>
  <c r="U23"/>
  <c r="V8"/>
  <c r="W26"/>
  <c r="V32"/>
  <c r="U33"/>
  <c r="X26" l="1"/>
  <c r="W32"/>
  <c r="AC36"/>
  <c r="AB39"/>
  <c r="AB45" s="1"/>
  <c r="AB31" s="1"/>
  <c r="W8"/>
  <c r="V23"/>
  <c r="V33" s="1"/>
  <c r="W23" l="1"/>
  <c r="X8"/>
  <c r="AD36"/>
  <c r="AC39"/>
  <c r="AC45" s="1"/>
  <c r="AC31" s="1"/>
  <c r="Y26"/>
  <c r="X32"/>
  <c r="W33"/>
  <c r="Z26" l="1"/>
  <c r="Y32"/>
  <c r="AD39"/>
  <c r="AD45" s="1"/>
  <c r="B6" i="6"/>
  <c r="B9" s="1"/>
  <c r="Y8" i="5"/>
  <c r="X23"/>
  <c r="X33" s="1"/>
  <c r="Y23" l="1"/>
  <c r="Z8"/>
  <c r="AD31"/>
  <c r="B6" i="7"/>
  <c r="B11" s="1"/>
  <c r="B16" s="1"/>
  <c r="AK8" i="5"/>
  <c r="AE30"/>
  <c r="AA26"/>
  <c r="Z32"/>
  <c r="Y33"/>
  <c r="AB26" l="1"/>
  <c r="AA32"/>
  <c r="AL8"/>
  <c r="AE31"/>
  <c r="AJ10"/>
  <c r="AF30"/>
  <c r="AA8"/>
  <c r="Z23"/>
  <c r="Z33" s="1"/>
  <c r="B28" i="7" l="1"/>
  <c r="AK11" i="5"/>
  <c r="AL11" s="1"/>
  <c r="AF9"/>
  <c r="AC26"/>
  <c r="AB32"/>
  <c r="AA23"/>
  <c r="AB8"/>
  <c r="AK10"/>
  <c r="AK12" s="1"/>
  <c r="AJ12"/>
  <c r="AL12" s="1"/>
  <c r="AA33"/>
  <c r="AC8" l="1"/>
  <c r="AB23"/>
  <c r="B21" i="6"/>
  <c r="B23" s="1"/>
  <c r="B30" i="7"/>
  <c r="AB33" i="5"/>
  <c r="AD26"/>
  <c r="AC32"/>
  <c r="AC23" l="1"/>
  <c r="AD8"/>
  <c r="AE26"/>
  <c r="AD32"/>
  <c r="AC33"/>
  <c r="AF26" l="1"/>
  <c r="AF32" s="1"/>
  <c r="AE32"/>
  <c r="AE8"/>
  <c r="AD23"/>
  <c r="AD33" s="1"/>
  <c r="AE23" l="1"/>
  <c r="AE33" s="1"/>
  <c r="AF8"/>
  <c r="B35" i="7" l="1"/>
  <c r="AF23" i="5"/>
  <c r="AF33" s="1"/>
  <c r="B28" i="6" l="1"/>
  <c r="B25" s="1"/>
  <c r="B32" i="7"/>
</calcChain>
</file>

<file path=xl/sharedStrings.xml><?xml version="1.0" encoding="utf-8"?>
<sst xmlns="http://schemas.openxmlformats.org/spreadsheetml/2006/main" count="308" uniqueCount="145">
  <si>
    <t>DEMONSTRAÇÃO DOS FLUXOS DE CAIXA PELO MÉTODO DIRETO</t>
  </si>
  <si>
    <t>EMPRESA LIBERTADORES</t>
  </si>
  <si>
    <t>20X2</t>
  </si>
  <si>
    <t>Fluxo de Caixa pelas Atividades Operacionais</t>
  </si>
  <si>
    <t>Recebimento de Clientes</t>
  </si>
  <si>
    <t>Pagamento de Fornecedores</t>
  </si>
  <si>
    <t>Caixa Líquido Gerado pelas Atividades Operacionais</t>
  </si>
  <si>
    <t>Fluxos de Caixa das Atividades de Investimento</t>
  </si>
  <si>
    <t>Aquisição de Ações da Cia Brasil</t>
  </si>
  <si>
    <t>Aquisição de Ações da Cia Argentina</t>
  </si>
  <si>
    <t>Aquisição de Imobilizado</t>
  </si>
  <si>
    <t>Recebimento de Dividendos Cia Brasil</t>
  </si>
  <si>
    <t>Recebimento de Dividendos Cia Argentina</t>
  </si>
  <si>
    <t>Caixa Líquido Gerado nas Atividades de Investimento</t>
  </si>
  <si>
    <t>Fluxos de Caixa pelas Atividades de Financiamento</t>
  </si>
  <si>
    <t>Pagamento de Dividendos</t>
  </si>
  <si>
    <t>Caixa Líquido Gerado nas Atividades de Financiamento</t>
  </si>
  <si>
    <t>Aumento líquido de Caixa e Equivalente de Caixa</t>
  </si>
  <si>
    <t>Caixa e Equivalente de Caixa no início do período</t>
  </si>
  <si>
    <t>Caixa e Equivalente de Caixa no final do período</t>
  </si>
  <si>
    <t>DEMONSTRAÇÃO DOS FLUXOS DE CAIXA PELO MÉTODO INDIRETO</t>
  </si>
  <si>
    <t>Ajustes por:</t>
  </si>
  <si>
    <t>(+) Depreciação</t>
  </si>
  <si>
    <t>(-) Equivalência Patrimonial</t>
  </si>
  <si>
    <t>(-) Recebimento de Dividendos</t>
  </si>
  <si>
    <t>(=) Lucro Ajustado</t>
  </si>
  <si>
    <t>Aumento nos Estoques</t>
  </si>
  <si>
    <t>Aumento na Conta de Fornecedores</t>
  </si>
  <si>
    <t>Caixa Líquido Consumido nas Atividades de Investimento</t>
  </si>
  <si>
    <t>Empresa Prestadora de Serviços Libertadores</t>
  </si>
  <si>
    <t>A empresa presta serviços de informática na América do Sul.</t>
  </si>
  <si>
    <t>O período contábil da empresa vai de 01 de janeiro a 31 de dezembro de cada ano. Os fatos ocorridos em dezembro estão apresentados a seguir, bem como as demonstrações contábeis.</t>
  </si>
  <si>
    <t>BALANÇO PATRIMONIAL</t>
  </si>
  <si>
    <t>Demonstração das Mutações do Patrimônio Líquido - 01/01/X2 a 31/12/X2</t>
  </si>
  <si>
    <t>Os saldos em 01/01/X2 são os seguintes:</t>
  </si>
  <si>
    <t>Balanço em</t>
  </si>
  <si>
    <t>01/jan A</t>
  </si>
  <si>
    <t>31/dez A</t>
  </si>
  <si>
    <t>31/dez B</t>
  </si>
  <si>
    <t>31/dez C</t>
  </si>
  <si>
    <t>31/dez D</t>
  </si>
  <si>
    <t>31/dez E</t>
  </si>
  <si>
    <t>31/dez F</t>
  </si>
  <si>
    <t>Descrição</t>
  </si>
  <si>
    <t>Capital</t>
  </si>
  <si>
    <t>Reserva Legal</t>
  </si>
  <si>
    <t>Lucros ou Prejuízos Acumulados</t>
  </si>
  <si>
    <t>Total</t>
  </si>
  <si>
    <t>Ativo Circulante</t>
  </si>
  <si>
    <t>Saldos em 31/12/X1</t>
  </si>
  <si>
    <t>Caixa</t>
  </si>
  <si>
    <t>Lucro Líquido</t>
  </si>
  <si>
    <t>Depósitos Bancários</t>
  </si>
  <si>
    <t>Proposta de Distribuição do Lucro</t>
  </si>
  <si>
    <t>Capital Social</t>
  </si>
  <si>
    <t>Equivalência contábil</t>
  </si>
  <si>
    <t>Estoque de Materiais</t>
  </si>
  <si>
    <t>Financiamentos a Pagar (a pagar em 20X3)</t>
  </si>
  <si>
    <t>Ativo Não Circulante</t>
  </si>
  <si>
    <t>Dividendos</t>
  </si>
  <si>
    <t>Investimentos</t>
  </si>
  <si>
    <t>(=) Saldos em 31/12/X2</t>
  </si>
  <si>
    <t>Ocorreram os seguintes fatos durante o ano:</t>
  </si>
  <si>
    <t>Cia Brasil</t>
  </si>
  <si>
    <t>Data</t>
  </si>
  <si>
    <t>Transação</t>
  </si>
  <si>
    <t>Cia Argentina</t>
  </si>
  <si>
    <t>A empresa comprou um imóvel (edificações) para exercer suas atividades, no valor de $180.000,00, pago a vista com cheque. A expectativa é que o imóvel dure 25 anos, e não há previsão de um valor de residual.</t>
  </si>
  <si>
    <t>Imobilizado</t>
  </si>
  <si>
    <t>A empresa comprou materiais para colocar no seu estoque, o valor comprado foi de $30.000,00. O Pagamento será a prazo.</t>
  </si>
  <si>
    <t>Edificações</t>
  </si>
  <si>
    <t>Prestou serviço para a empresa 'Alfa' no valor de $170.000,00 e o pagamento foi a vista em cheque.</t>
  </si>
  <si>
    <t>(-) Dep. Acum. Edificações</t>
  </si>
  <si>
    <t>A empresa gastou $20.000,00 dos materiais que estavam em estoque para prestar o serviço para a empresa Alfa no dia anterior.</t>
  </si>
  <si>
    <t>Ativo Total</t>
  </si>
  <si>
    <t xml:space="preserve">A empresa, visando adquirir ações de uma empresa que tem atividades relacionadas, adquiriu 80% das ações da 'Cia Brasil' (a empresa detêm agora o controle da empresa Brasil). O pagamento foi em cheque. Sabe-se que o Patrimônio Líquido da Empresa Brasil é </t>
  </si>
  <si>
    <t>PASSIVO CIRCULANTE</t>
  </si>
  <si>
    <t>Pretendendo diversificar os investimentos, a empresa comprou ações da 'Cia Argentina', pagando $10.000,00 pela aquisição em dinheiro (caixa). A empresa comprou 10% das ações da 'Cia Argentina' (a empresa não detêm o controle).</t>
  </si>
  <si>
    <t>Fornecedores</t>
  </si>
  <si>
    <t>Lançar a depreciação da Edificação.</t>
  </si>
  <si>
    <t>Financiamentos a Pagar</t>
  </si>
  <si>
    <t>A empresa Brasil divulgou suas demonstrações contábeis, e pode-se verificar que ela obteve lucro de $50.000,00 de lucro no ano.</t>
  </si>
  <si>
    <t>PATRIMÔNIO LÍQUIDO</t>
  </si>
  <si>
    <t>A empresa Argentina divulgou suas demonstrações e apresentou lucro de $30.000,00.</t>
  </si>
  <si>
    <t xml:space="preserve">Capital Social </t>
  </si>
  <si>
    <t>A empresa Argentina distribuiu de dividendo o total de $20.000,00. Os pagamentos foram realizados em cheque.</t>
  </si>
  <si>
    <t>A empresa Brasil distribuiu dividendos no valor de $30.000,00. Os dividendos foram pagos em cheque.</t>
  </si>
  <si>
    <t>A empresa calculou 5% de reseva legal sobre o Lucro Líquido do Período na DRE.</t>
  </si>
  <si>
    <t>Passivo + PL</t>
  </si>
  <si>
    <t>O restante do saldo de Lucros Acumulados foi distribuído aos acionistas em cheque.</t>
  </si>
  <si>
    <t>Obs: As despesas de Depreciação deverão ser atribuídas ao resultado.</t>
  </si>
  <si>
    <t>Demonstração do Resultado - 30/11/X2a 31/12/X2</t>
  </si>
  <si>
    <t>ENCERRAMENTO DO PERÍODO</t>
  </si>
  <si>
    <t>Descrição das Contas</t>
  </si>
  <si>
    <t>Receita de Prestação de Serviços</t>
  </si>
  <si>
    <t>(-) Custo dos Materiais</t>
  </si>
  <si>
    <t>(=) Resultado Operacional Bruto</t>
  </si>
  <si>
    <t>Despesa de Depreciação</t>
  </si>
  <si>
    <t>Receita de Equivalência Patrimonial</t>
  </si>
  <si>
    <t>Receita de Dividendo</t>
  </si>
  <si>
    <t>(=) Resultado do Período</t>
  </si>
  <si>
    <r>
      <t xml:space="preserve">(-) </t>
    </r>
    <r>
      <rPr>
        <b/>
        <u/>
        <sz val="12"/>
        <rFont val="Arial"/>
        <family val="2"/>
      </rPr>
      <t>Despesas Operacionais</t>
    </r>
  </si>
  <si>
    <t>Empresa Prestadora de Serviços Flamengo</t>
  </si>
  <si>
    <t>01/jan B</t>
  </si>
  <si>
    <t>01/jan C</t>
  </si>
  <si>
    <t>01/jul A</t>
  </si>
  <si>
    <t>01/jul B</t>
  </si>
  <si>
    <t>31/dez G</t>
  </si>
  <si>
    <t>31/dez H</t>
  </si>
  <si>
    <t>Cia WWW</t>
  </si>
  <si>
    <t>Cia BBB</t>
  </si>
  <si>
    <t>A empresa adquiriu máquinas e equipamentos que serão utilizados na sua atividade empresarial, pagando $50.000,00 a vista em cheque. Segundo o Manual técnico, a expectativa de vida útil da máquina é de 100.000 horas (não há expectativa de valor residual).</t>
  </si>
  <si>
    <t>Obras de Arte</t>
  </si>
  <si>
    <t>A empresa comprou um imóvel (edificações) para exercer suas atividades, no valor de $120.000,00, pago a vista com cheque. A expectativa é que o imóvel dure 25 anos, e não há previsão de um valor de residual.</t>
  </si>
  <si>
    <t>Veículos</t>
  </si>
  <si>
    <t>Comprou-se um veículo no valor de $40.000,00. A vista com cheque. A expectativa da empresa é vender o automóvel daqui a 5 anos pelo valor de $15.000,00 (valor residual).</t>
  </si>
  <si>
    <t>Máquinas</t>
  </si>
  <si>
    <t>A empresa comprou materiais para colocar no seu estoque, o valor comprado foi de $45.000,00. O Pagamento será a prazo.</t>
  </si>
  <si>
    <t>Prestou serviço para a empresa 'ABC' no valor de $100.000,00 e o pagamento foi a vista em cheque.</t>
  </si>
  <si>
    <t>(-) Dep. Acum. Veículos</t>
  </si>
  <si>
    <t>A empresa gastou $15.000,00 dos materiais que estavam em estoque para prestar o serviço para a empresa ABC no dia anterior.</t>
  </si>
  <si>
    <t>(-) Dep. Acum. Máquinas</t>
  </si>
  <si>
    <t>Pretendendo diversificar os investimentos, a empresa comprou ações da 'Cia BBB', pagando $20.000,00 pela aquisição em dinheiro (caixa). A empresa comprou 20% das ações da 'Cia BBB' (a empresa não detêm o controle).</t>
  </si>
  <si>
    <t>A empresa comprou obras de arte no valor de $5.000,00, pagos em dinheiro (caixa).</t>
  </si>
  <si>
    <t>A empresa pagou a compra do dia 05 de fevereiro com cheque.</t>
  </si>
  <si>
    <t>A empresa teve despesas de agua e luz de $30.000,00 no período, as contas são a prazo (contas a pagar).</t>
  </si>
  <si>
    <t>A empresa fez a opção de lançar a Depreciação dos Imobilizados Semestralmente. Até o presente momento sabe-se que a Máquina já trabalhou 2.000 horas. E os outros imobilizados estão sendo usados desde o dia da compra.</t>
  </si>
  <si>
    <t>Contas a Pagar</t>
  </si>
  <si>
    <t>Lançar a depreciação do Veículo.</t>
  </si>
  <si>
    <t>A empresa prestou serviços no valor de $450.000,00 e recebeu a vista em cheque.</t>
  </si>
  <si>
    <t>A empresa comprou $30.000,00 de mercadorias a prazo</t>
  </si>
  <si>
    <t>A empresa WWW divulgou suas demonstrações contábeis, e pode-se verificar que ela obteve lucro de $100.000,00 de lucro no ano.</t>
  </si>
  <si>
    <t>A empresa BBB divulgou suas demonstrações e apresentou lucro de $15.000,00.</t>
  </si>
  <si>
    <t>A empresa BBB distribuiu de dividendo o total de $15.000,00. Os pagamentos foram realizados em cheque.</t>
  </si>
  <si>
    <t>A empresa WWW distribuiu dividendos no valor de $80.000,00. Os dividendos foram pagos em cheque.</t>
  </si>
  <si>
    <t>A empresa lançou a depreciação da Máquina, nesse semestre ela trabalhou durante 2.200 horas.</t>
  </si>
  <si>
    <t>(-) Despesa de água e luz</t>
  </si>
  <si>
    <t>Lucro Líquido do período</t>
  </si>
  <si>
    <t>Aquisição de Ações da Cia WWW</t>
  </si>
  <si>
    <t>Recebimento de Dividendos Cia WWW</t>
  </si>
  <si>
    <t>Aquisição de Obras de Artes</t>
  </si>
  <si>
    <t>Recebimento de Dividendos Cia BBB</t>
  </si>
  <si>
    <t>Aquisição de Ações da Cia BBB</t>
  </si>
  <si>
    <t>A empresa, visando adquirir ações de uma empresa que tem atividades relacionadas, adquiriu 90% das ações da 'Cia WWW' (a empresa detêm agora o controle da empresa WWW). O pagamento foi em cheque. Sabe-se que o Patrimônio Líquido da Empresa WWW é de $500.000,00</t>
  </si>
  <si>
    <t>Aumento na Conta de Contas a Pagar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</si>
</sst>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6" formatCode="&quot;R$&quot;\ #,##0.00;\-&quot;R$&quot;\ #,##0.00"/>
    <numFmt numFmtId="170" formatCode="_-&quot;R$&quot;\ * #,##0.00_-;\-&quot;R$&quot;\ * #,##0.00_-;_-&quot;R$&quot;\ * &quot;-&quot;??_-;_-@_-"/>
    <numFmt numFmtId="171" formatCode="_-* #,##0.00_-;\-* #,##0.00_-;_-* &quot;-&quot;??_-;_-@_-"/>
    <numFmt numFmtId="176" formatCode="_-* #,##0_-;\-* #,##0_-;_-* &quot;-&quot;??_-;_-@_-"/>
  </numFmts>
  <fonts count="33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b/>
      <i/>
      <u/>
      <sz val="14"/>
      <name val="Arial"/>
      <family val="2"/>
    </font>
    <font>
      <b/>
      <u/>
      <sz val="10"/>
      <name val="Arial"/>
      <family val="2"/>
    </font>
    <font>
      <sz val="10.5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170" fontId="1" fillId="0" borderId="0" applyFont="0" applyFill="0" applyBorder="0" applyAlignment="0" applyProtection="0"/>
    <xf numFmtId="0" fontId="10" fillId="22" borderId="0" applyNumberFormat="0" applyBorder="0" applyAlignment="0" applyProtection="0"/>
    <xf numFmtId="0" fontId="1" fillId="23" borderId="4" applyNumberFormat="0" applyFont="0" applyAlignment="0" applyProtection="0"/>
    <xf numFmtId="0" fontId="11" fillId="16" borderId="5" applyNumberFormat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192">
    <xf numFmtId="0" fontId="0" fillId="0" borderId="0" xfId="0"/>
    <xf numFmtId="0" fontId="20" fillId="0" borderId="0" xfId="0" applyFont="1"/>
    <xf numFmtId="171" fontId="20" fillId="0" borderId="0" xfId="35" applyFont="1"/>
    <xf numFmtId="0" fontId="20" fillId="0" borderId="10" xfId="0" applyFont="1" applyBorder="1"/>
    <xf numFmtId="171" fontId="21" fillId="0" borderId="11" xfId="35" applyFont="1" applyBorder="1" applyAlignment="1">
      <alignment horizontal="center"/>
    </xf>
    <xf numFmtId="0" fontId="22" fillId="0" borderId="10" xfId="0" applyFont="1" applyBorder="1"/>
    <xf numFmtId="171" fontId="20" fillId="0" borderId="11" xfId="35" applyFont="1" applyBorder="1"/>
    <xf numFmtId="0" fontId="20" fillId="0" borderId="12" xfId="0" applyFont="1" applyBorder="1"/>
    <xf numFmtId="166" fontId="20" fillId="0" borderId="13" xfId="31" applyNumberFormat="1" applyFont="1" applyBorder="1"/>
    <xf numFmtId="0" fontId="20" fillId="0" borderId="14" xfId="0" applyFont="1" applyBorder="1"/>
    <xf numFmtId="166" fontId="20" fillId="0" borderId="15" xfId="31" applyNumberFormat="1" applyFont="1" applyBorder="1"/>
    <xf numFmtId="0" fontId="22" fillId="0" borderId="12" xfId="0" applyFont="1" applyBorder="1"/>
    <xf numFmtId="171" fontId="20" fillId="0" borderId="13" xfId="31" applyNumberFormat="1" applyFont="1" applyBorder="1"/>
    <xf numFmtId="171" fontId="20" fillId="0" borderId="15" xfId="31" applyNumberFormat="1" applyFont="1" applyBorder="1"/>
    <xf numFmtId="166" fontId="20" fillId="0" borderId="11" xfId="31" applyNumberFormat="1" applyFont="1" applyFill="1" applyBorder="1"/>
    <xf numFmtId="0" fontId="20" fillId="0" borderId="16" xfId="0" applyFont="1" applyBorder="1"/>
    <xf numFmtId="171" fontId="20" fillId="0" borderId="17" xfId="31" applyNumberFormat="1" applyFont="1" applyBorder="1"/>
    <xf numFmtId="0" fontId="20" fillId="0" borderId="12" xfId="0" applyFont="1" applyBorder="1" applyAlignment="1">
      <alignment horizontal="left" indent="1"/>
    </xf>
    <xf numFmtId="0" fontId="20" fillId="0" borderId="12" xfId="0" applyFont="1" applyFill="1" applyBorder="1" applyAlignment="1">
      <alignment horizontal="left" indent="1"/>
    </xf>
    <xf numFmtId="166" fontId="20" fillId="0" borderId="11" xfId="31" applyNumberFormat="1" applyFont="1" applyBorder="1"/>
    <xf numFmtId="171" fontId="20" fillId="0" borderId="13" xfId="35" applyFont="1" applyBorder="1"/>
    <xf numFmtId="166" fontId="20" fillId="0" borderId="17" xfId="31" applyNumberFormat="1" applyFont="1" applyBorder="1"/>
    <xf numFmtId="166" fontId="0" fillId="0" borderId="0" xfId="0" applyNumberFormat="1"/>
    <xf numFmtId="0" fontId="0" fillId="24" borderId="0" xfId="0" applyFill="1"/>
    <xf numFmtId="0" fontId="0" fillId="24" borderId="0" xfId="0" applyFill="1" applyAlignment="1">
      <alignment vertical="center"/>
    </xf>
    <xf numFmtId="171" fontId="1" fillId="24" borderId="0" xfId="35" applyFont="1" applyFill="1"/>
    <xf numFmtId="171" fontId="1" fillId="24" borderId="0" xfId="35" applyFill="1"/>
    <xf numFmtId="171" fontId="1" fillId="24" borderId="0" xfId="35" applyNumberFormat="1" applyFill="1"/>
    <xf numFmtId="0" fontId="24" fillId="24" borderId="0" xfId="0" applyFont="1" applyFill="1" applyAlignment="1">
      <alignment vertical="justify" wrapText="1"/>
    </xf>
    <xf numFmtId="0" fontId="24" fillId="24" borderId="0" xfId="0" applyFont="1" applyFill="1" applyAlignment="1">
      <alignment vertical="center" wrapText="1"/>
    </xf>
    <xf numFmtId="171" fontId="0" fillId="24" borderId="0" xfId="0" applyNumberFormat="1" applyFill="1"/>
    <xf numFmtId="0" fontId="23" fillId="24" borderId="0" xfId="0" applyFont="1" applyFill="1" applyBorder="1" applyAlignment="1"/>
    <xf numFmtId="0" fontId="26" fillId="24" borderId="0" xfId="0" quotePrefix="1" applyFont="1" applyFill="1" applyBorder="1" applyAlignment="1" applyProtection="1">
      <alignment vertical="center" wrapText="1"/>
      <protection hidden="1"/>
    </xf>
    <xf numFmtId="0" fontId="1" fillId="24" borderId="0" xfId="0" applyFont="1" applyFill="1" applyBorder="1" applyAlignment="1">
      <alignment vertical="center" wrapText="1"/>
    </xf>
    <xf numFmtId="0" fontId="27" fillId="24" borderId="18" xfId="0" applyFont="1" applyFill="1" applyBorder="1" applyAlignment="1">
      <alignment horizontal="center" vertical="center" wrapText="1"/>
    </xf>
    <xf numFmtId="16" fontId="27" fillId="24" borderId="19" xfId="0" applyNumberFormat="1" applyFont="1" applyFill="1" applyBorder="1" applyAlignment="1">
      <alignment horizontal="center" vertical="center" wrapText="1"/>
    </xf>
    <xf numFmtId="16" fontId="27" fillId="24" borderId="20" xfId="0" applyNumberFormat="1" applyFont="1" applyFill="1" applyBorder="1" applyAlignment="1">
      <alignment horizontal="center" vertical="center" wrapText="1"/>
    </xf>
    <xf numFmtId="16" fontId="27" fillId="24" borderId="21" xfId="0" applyNumberFormat="1" applyFont="1" applyFill="1" applyBorder="1" applyAlignment="1">
      <alignment horizontal="center" vertical="center" wrapText="1"/>
    </xf>
    <xf numFmtId="0" fontId="25" fillId="24" borderId="22" xfId="0" applyFont="1" applyFill="1" applyBorder="1" applyAlignment="1" applyProtection="1">
      <alignment horizontal="center" vertical="center"/>
      <protection hidden="1"/>
    </xf>
    <xf numFmtId="0" fontId="23" fillId="24" borderId="0" xfId="0" applyFont="1" applyFill="1" applyBorder="1" applyAlignment="1" applyProtection="1">
      <alignment horizontal="center" vertical="center" wrapText="1"/>
      <protection hidden="1"/>
    </xf>
    <xf numFmtId="0" fontId="23" fillId="24" borderId="22" xfId="0" applyFont="1" applyFill="1" applyBorder="1" applyAlignment="1" applyProtection="1">
      <alignment horizontal="center" vertical="center" wrapText="1"/>
      <protection hidden="1"/>
    </xf>
    <xf numFmtId="0" fontId="24" fillId="24" borderId="0" xfId="0" applyFont="1" applyFill="1" applyBorder="1" applyAlignment="1">
      <alignment horizontal="center" vertical="justify" wrapText="1"/>
    </xf>
    <xf numFmtId="0" fontId="28" fillId="24" borderId="23" xfId="0" applyFont="1" applyFill="1" applyBorder="1" applyAlignment="1">
      <alignment horizontal="left" vertical="center" wrapText="1"/>
    </xf>
    <xf numFmtId="16" fontId="27" fillId="24" borderId="24" xfId="0" applyNumberFormat="1" applyFont="1" applyFill="1" applyBorder="1" applyAlignment="1">
      <alignment horizontal="center" vertical="center" wrapText="1"/>
    </xf>
    <xf numFmtId="0" fontId="27" fillId="24" borderId="13" xfId="0" applyFont="1" applyFill="1" applyBorder="1" applyAlignment="1">
      <alignment horizontal="center" vertical="center" wrapText="1"/>
    </xf>
    <xf numFmtId="0" fontId="27" fillId="24" borderId="25" xfId="0" applyFont="1" applyFill="1" applyBorder="1" applyAlignment="1">
      <alignment horizontal="center" vertical="center" wrapText="1"/>
    </xf>
    <xf numFmtId="0" fontId="25" fillId="24" borderId="26" xfId="0" applyFont="1" applyFill="1" applyBorder="1" applyAlignment="1" applyProtection="1">
      <alignment horizontal="left" indent="2"/>
      <protection hidden="1"/>
    </xf>
    <xf numFmtId="43" fontId="23" fillId="24" borderId="27" xfId="36" applyNumberFormat="1" applyFont="1" applyFill="1" applyBorder="1" applyProtection="1">
      <protection hidden="1"/>
    </xf>
    <xf numFmtId="43" fontId="23" fillId="24" borderId="26" xfId="36" applyNumberFormat="1" applyFont="1" applyFill="1" applyBorder="1" applyProtection="1">
      <protection hidden="1"/>
    </xf>
    <xf numFmtId="0" fontId="20" fillId="0" borderId="15" xfId="0" applyFont="1" applyFill="1" applyBorder="1" applyAlignment="1">
      <alignment horizontal="justify" vertical="top" wrapText="1"/>
    </xf>
    <xf numFmtId="171" fontId="20" fillId="24" borderId="15" xfId="35" applyFont="1" applyFill="1" applyBorder="1" applyAlignment="1">
      <alignment horizontal="justify" vertical="top" wrapText="1"/>
    </xf>
    <xf numFmtId="0" fontId="20" fillId="24" borderId="0" xfId="0" applyFont="1" applyFill="1" applyBorder="1" applyAlignment="1">
      <alignment horizontal="justify" vertical="top" wrapText="1"/>
    </xf>
    <xf numFmtId="171" fontId="20" fillId="24" borderId="0" xfId="35" applyFont="1" applyFill="1" applyBorder="1" applyAlignment="1">
      <alignment horizontal="justify" vertical="top" wrapText="1"/>
    </xf>
    <xf numFmtId="0" fontId="21" fillId="24" borderId="28" xfId="0" applyFont="1" applyFill="1" applyBorder="1" applyAlignment="1">
      <alignment horizontal="left" vertical="center" wrapText="1"/>
    </xf>
    <xf numFmtId="171" fontId="20" fillId="24" borderId="29" xfId="35" applyFont="1" applyFill="1" applyBorder="1" applyAlignment="1">
      <alignment horizontal="justify" vertical="top" wrapText="1"/>
    </xf>
    <xf numFmtId="171" fontId="20" fillId="24" borderId="15" xfId="35" applyFont="1" applyFill="1" applyBorder="1" applyAlignment="1">
      <alignment horizontal="right" vertical="top" wrapText="1"/>
    </xf>
    <xf numFmtId="171" fontId="20" fillId="24" borderId="30" xfId="35" applyFont="1" applyFill="1" applyBorder="1" applyAlignment="1">
      <alignment horizontal="right" vertical="top" wrapText="1"/>
    </xf>
    <xf numFmtId="176" fontId="0" fillId="24" borderId="0" xfId="0" applyNumberFormat="1" applyFill="1"/>
    <xf numFmtId="0" fontId="23" fillId="24" borderId="28" xfId="0" applyFont="1" applyFill="1" applyBorder="1" applyProtection="1">
      <protection hidden="1"/>
    </xf>
    <xf numFmtId="43" fontId="23" fillId="24" borderId="31" xfId="36" applyNumberFormat="1" applyFont="1" applyFill="1" applyBorder="1" applyProtection="1">
      <protection hidden="1"/>
    </xf>
    <xf numFmtId="43" fontId="23" fillId="24" borderId="28" xfId="36" applyNumberFormat="1" applyFont="1" applyFill="1" applyBorder="1" applyProtection="1">
      <protection hidden="1"/>
    </xf>
    <xf numFmtId="171" fontId="20" fillId="25" borderId="15" xfId="35" applyFont="1" applyFill="1" applyBorder="1" applyAlignment="1">
      <alignment horizontal="right" vertical="top" wrapText="1"/>
    </xf>
    <xf numFmtId="171" fontId="20" fillId="24" borderId="17" xfId="35" applyFont="1" applyFill="1" applyBorder="1" applyAlignment="1">
      <alignment horizontal="right" vertical="top" wrapText="1"/>
    </xf>
    <xf numFmtId="171" fontId="20" fillId="25" borderId="17" xfId="35" applyFont="1" applyFill="1" applyBorder="1" applyAlignment="1">
      <alignment horizontal="right" vertical="top" wrapText="1"/>
    </xf>
    <xf numFmtId="171" fontId="20" fillId="25" borderId="32" xfId="35" applyFont="1" applyFill="1" applyBorder="1" applyAlignment="1">
      <alignment horizontal="right" vertical="top" wrapText="1"/>
    </xf>
    <xf numFmtId="0" fontId="29" fillId="24" borderId="28" xfId="0" applyFont="1" applyFill="1" applyBorder="1" applyProtection="1">
      <protection hidden="1"/>
    </xf>
    <xf numFmtId="0" fontId="23" fillId="24" borderId="28" xfId="0" applyFont="1" applyFill="1" applyBorder="1" applyAlignment="1" applyProtection="1">
      <alignment horizontal="left" indent="1"/>
      <protection hidden="1"/>
    </xf>
    <xf numFmtId="171" fontId="21" fillId="24" borderId="33" xfId="35" applyFont="1" applyFill="1" applyBorder="1" applyAlignment="1">
      <alignment horizontal="justify" vertical="top" wrapText="1"/>
    </xf>
    <xf numFmtId="171" fontId="21" fillId="24" borderId="15" xfId="35" applyFont="1" applyFill="1" applyBorder="1" applyAlignment="1">
      <alignment horizontal="right" vertical="top" wrapText="1"/>
    </xf>
    <xf numFmtId="171" fontId="21" fillId="24" borderId="30" xfId="35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horizontal="left" vertical="center" wrapText="1"/>
    </xf>
    <xf numFmtId="0" fontId="20" fillId="24" borderId="0" xfId="0" applyFont="1" applyFill="1" applyBorder="1" applyAlignment="1">
      <alignment horizontal="left" vertical="center" wrapText="1"/>
    </xf>
    <xf numFmtId="0" fontId="21" fillId="24" borderId="28" xfId="0" applyFont="1" applyFill="1" applyBorder="1" applyAlignment="1">
      <alignment horizontal="justify" vertical="center" wrapText="1"/>
    </xf>
    <xf numFmtId="171" fontId="21" fillId="24" borderId="15" xfId="35" quotePrefix="1" applyFont="1" applyFill="1" applyBorder="1" applyAlignment="1">
      <alignment horizontal="right" vertical="top" wrapText="1"/>
    </xf>
    <xf numFmtId="0" fontId="25" fillId="24" borderId="34" xfId="0" applyFont="1" applyFill="1" applyBorder="1" applyProtection="1">
      <protection hidden="1"/>
    </xf>
    <xf numFmtId="43" fontId="23" fillId="24" borderId="18" xfId="0" applyNumberFormat="1" applyFont="1" applyFill="1" applyBorder="1"/>
    <xf numFmtId="43" fontId="0" fillId="24" borderId="18" xfId="0" applyNumberFormat="1" applyFill="1" applyBorder="1"/>
    <xf numFmtId="43" fontId="23" fillId="24" borderId="35" xfId="36" applyNumberFormat="1" applyFont="1" applyFill="1" applyBorder="1" applyProtection="1">
      <protection hidden="1"/>
    </xf>
    <xf numFmtId="0" fontId="21" fillId="24" borderId="28" xfId="0" applyFont="1" applyFill="1" applyBorder="1" applyAlignment="1">
      <alignment horizontal="left" vertical="center" wrapText="1" indent="2"/>
    </xf>
    <xf numFmtId="171" fontId="21" fillId="24" borderId="31" xfId="35" applyFont="1" applyFill="1" applyBorder="1" applyAlignment="1">
      <alignment horizontal="justify" vertical="top" wrapText="1"/>
    </xf>
    <xf numFmtId="171" fontId="20" fillId="24" borderId="15" xfId="35" quotePrefix="1" applyFont="1" applyFill="1" applyBorder="1" applyAlignment="1">
      <alignment horizontal="right" vertical="top" wrapText="1"/>
    </xf>
    <xf numFmtId="171" fontId="20" fillId="24" borderId="32" xfId="35" applyFont="1" applyFill="1" applyBorder="1" applyAlignment="1">
      <alignment horizontal="right" vertical="top" wrapText="1"/>
    </xf>
    <xf numFmtId="171" fontId="20" fillId="25" borderId="15" xfId="35" quotePrefix="1" applyFont="1" applyFill="1" applyBorder="1" applyAlignment="1">
      <alignment horizontal="right" vertical="top" wrapText="1"/>
    </xf>
    <xf numFmtId="171" fontId="20" fillId="24" borderId="36" xfId="35" applyFont="1" applyFill="1" applyBorder="1" applyAlignment="1">
      <alignment horizontal="justify" vertical="top" wrapText="1"/>
    </xf>
    <xf numFmtId="171" fontId="20" fillId="24" borderId="37" xfId="35" quotePrefix="1" applyFont="1" applyFill="1" applyBorder="1" applyAlignment="1">
      <alignment horizontal="right" vertical="top" wrapText="1"/>
    </xf>
    <xf numFmtId="171" fontId="20" fillId="24" borderId="37" xfId="35" applyFont="1" applyFill="1" applyBorder="1" applyAlignment="1">
      <alignment horizontal="right" vertical="top" wrapText="1"/>
    </xf>
    <xf numFmtId="171" fontId="20" fillId="25" borderId="37" xfId="35" applyFont="1" applyFill="1" applyBorder="1" applyAlignment="1">
      <alignment horizontal="right" vertical="top" wrapText="1"/>
    </xf>
    <xf numFmtId="0" fontId="31" fillId="24" borderId="18" xfId="0" applyFont="1" applyFill="1" applyBorder="1" applyAlignment="1">
      <alignment horizontal="center" vertical="center" wrapText="1"/>
    </xf>
    <xf numFmtId="171" fontId="31" fillId="24" borderId="20" xfId="35" applyFont="1" applyFill="1" applyBorder="1" applyAlignment="1">
      <alignment horizontal="center" vertical="top" wrapText="1"/>
    </xf>
    <xf numFmtId="0" fontId="31" fillId="24" borderId="38" xfId="0" applyFont="1" applyFill="1" applyBorder="1" applyAlignment="1">
      <alignment horizontal="center" vertical="center" wrapText="1"/>
    </xf>
    <xf numFmtId="171" fontId="31" fillId="24" borderId="39" xfId="35" applyFont="1" applyFill="1" applyBorder="1" applyAlignment="1">
      <alignment horizontal="center" vertical="top" wrapText="1"/>
    </xf>
    <xf numFmtId="171" fontId="21" fillId="24" borderId="17" xfId="35" applyFont="1" applyFill="1" applyBorder="1" applyAlignment="1">
      <alignment horizontal="right" vertical="top" wrapText="1"/>
    </xf>
    <xf numFmtId="171" fontId="21" fillId="24" borderId="32" xfId="35" applyFont="1" applyFill="1" applyBorder="1" applyAlignment="1">
      <alignment horizontal="right" vertical="top" wrapText="1"/>
    </xf>
    <xf numFmtId="171" fontId="20" fillId="24" borderId="16" xfId="35" applyFont="1" applyFill="1" applyBorder="1" applyAlignment="1">
      <alignment horizontal="right" vertical="top" wrapText="1"/>
    </xf>
    <xf numFmtId="171" fontId="20" fillId="24" borderId="33" xfId="35" applyFont="1" applyFill="1" applyBorder="1" applyAlignment="1">
      <alignment horizontal="justify" vertical="top" wrapText="1"/>
    </xf>
    <xf numFmtId="171" fontId="21" fillId="24" borderId="15" xfId="35" applyFont="1" applyFill="1" applyBorder="1" applyAlignment="1">
      <alignment horizontal="justify" vertical="top" wrapText="1"/>
    </xf>
    <xf numFmtId="0" fontId="21" fillId="24" borderId="40" xfId="0" applyFont="1" applyFill="1" applyBorder="1" applyAlignment="1">
      <alignment horizontal="justify" vertical="center" wrapText="1"/>
    </xf>
    <xf numFmtId="171" fontId="21" fillId="24" borderId="41" xfId="35" applyFont="1" applyFill="1" applyBorder="1" applyAlignment="1">
      <alignment horizontal="justify" vertical="top" wrapText="1"/>
    </xf>
    <xf numFmtId="171" fontId="21" fillId="24" borderId="11" xfId="35" applyFont="1" applyFill="1" applyBorder="1" applyAlignment="1">
      <alignment horizontal="justify" vertical="top" wrapText="1"/>
    </xf>
    <xf numFmtId="171" fontId="21" fillId="24" borderId="11" xfId="35" applyFont="1" applyFill="1" applyBorder="1" applyAlignment="1">
      <alignment horizontal="right" vertical="top" wrapText="1"/>
    </xf>
    <xf numFmtId="171" fontId="20" fillId="25" borderId="11" xfId="35" applyFont="1" applyFill="1" applyBorder="1" applyAlignment="1">
      <alignment horizontal="right" vertical="top" wrapText="1"/>
    </xf>
    <xf numFmtId="171" fontId="21" fillId="25" borderId="42" xfId="35" applyFont="1" applyFill="1" applyBorder="1" applyAlignment="1">
      <alignment horizontal="right" vertical="top" wrapText="1"/>
    </xf>
    <xf numFmtId="171" fontId="31" fillId="24" borderId="19" xfId="35" applyFont="1" applyFill="1" applyBorder="1" applyAlignment="1">
      <alignment horizontal="center" vertical="top" wrapText="1"/>
    </xf>
    <xf numFmtId="171" fontId="0" fillId="24" borderId="0" xfId="0" applyNumberFormat="1" applyFill="1" applyAlignment="1">
      <alignment vertical="center"/>
    </xf>
    <xf numFmtId="0" fontId="23" fillId="26" borderId="34" xfId="0" applyFont="1" applyFill="1" applyBorder="1"/>
    <xf numFmtId="0" fontId="0" fillId="26" borderId="43" xfId="0" applyFill="1" applyBorder="1"/>
    <xf numFmtId="0" fontId="0" fillId="26" borderId="44" xfId="0" applyFill="1" applyBorder="1"/>
    <xf numFmtId="0" fontId="26" fillId="24" borderId="45" xfId="0" quotePrefix="1" applyFont="1" applyFill="1" applyBorder="1" applyAlignment="1" applyProtection="1">
      <alignment horizontal="center"/>
      <protection hidden="1"/>
    </xf>
    <xf numFmtId="0" fontId="27" fillId="24" borderId="46" xfId="0" applyFont="1" applyFill="1" applyBorder="1" applyAlignment="1">
      <alignment horizontal="center" vertical="center" wrapText="1"/>
    </xf>
    <xf numFmtId="0" fontId="21" fillId="24" borderId="47" xfId="0" applyFont="1" applyFill="1" applyBorder="1" applyAlignment="1">
      <alignment horizontal="left" vertical="center" wrapText="1"/>
    </xf>
    <xf numFmtId="171" fontId="20" fillId="24" borderId="15" xfId="35" applyFont="1" applyFill="1" applyBorder="1" applyAlignment="1">
      <alignment horizontal="center" vertical="center"/>
    </xf>
    <xf numFmtId="171" fontId="20" fillId="25" borderId="15" xfId="35" applyFont="1" applyFill="1" applyBorder="1" applyAlignment="1">
      <alignment horizontal="center" vertical="center"/>
    </xf>
    <xf numFmtId="0" fontId="21" fillId="24" borderId="29" xfId="0" applyFont="1" applyFill="1" applyBorder="1" applyAlignment="1">
      <alignment horizontal="left" vertical="center" wrapText="1"/>
    </xf>
    <xf numFmtId="171" fontId="20" fillId="24" borderId="15" xfId="35" applyFont="1" applyFill="1" applyBorder="1" applyAlignment="1">
      <alignment horizontal="left" vertical="center" wrapText="1"/>
    </xf>
    <xf numFmtId="171" fontId="21" fillId="24" borderId="15" xfId="35" applyFont="1" applyFill="1" applyBorder="1" applyAlignment="1">
      <alignment horizontal="right" vertical="center" wrapText="1"/>
    </xf>
    <xf numFmtId="171" fontId="21" fillId="24" borderId="14" xfId="35" applyFont="1" applyFill="1" applyBorder="1" applyAlignment="1">
      <alignment horizontal="right" vertical="center" wrapText="1"/>
    </xf>
    <xf numFmtId="0" fontId="26" fillId="24" borderId="0" xfId="0" applyFont="1" applyFill="1" applyBorder="1" applyAlignment="1" applyProtection="1">
      <alignment horizontal="center" vertical="center" textRotation="255"/>
      <protection hidden="1"/>
    </xf>
    <xf numFmtId="171" fontId="20" fillId="24" borderId="15" xfId="35" applyFont="1" applyFill="1" applyBorder="1" applyAlignment="1">
      <alignment vertical="center"/>
    </xf>
    <xf numFmtId="171" fontId="20" fillId="24" borderId="14" xfId="35" applyFont="1" applyFill="1" applyBorder="1" applyAlignment="1">
      <alignment vertical="center"/>
    </xf>
    <xf numFmtId="171" fontId="20" fillId="24" borderId="15" xfId="0" applyNumberFormat="1" applyFont="1" applyFill="1" applyBorder="1" applyAlignment="1">
      <alignment horizontal="left" vertical="center" wrapText="1"/>
    </xf>
    <xf numFmtId="171" fontId="20" fillId="24" borderId="15" xfId="35" applyFont="1" applyFill="1" applyBorder="1" applyAlignment="1">
      <alignment horizontal="right" vertical="center" wrapText="1"/>
    </xf>
    <xf numFmtId="171" fontId="20" fillId="24" borderId="14" xfId="35" applyFont="1" applyFill="1" applyBorder="1" applyAlignment="1">
      <alignment horizontal="justify" vertical="top" wrapText="1"/>
    </xf>
    <xf numFmtId="171" fontId="20" fillId="25" borderId="14" xfId="35" applyFont="1" applyFill="1" applyBorder="1" applyAlignment="1">
      <alignment horizontal="justify" vertical="top" wrapText="1"/>
    </xf>
    <xf numFmtId="0" fontId="31" fillId="24" borderId="48" xfId="0" applyFont="1" applyFill="1" applyBorder="1" applyAlignment="1">
      <alignment horizontal="left" vertical="center" wrapText="1"/>
    </xf>
    <xf numFmtId="171" fontId="31" fillId="24" borderId="37" xfId="35" applyFont="1" applyFill="1" applyBorder="1" applyAlignment="1">
      <alignment horizontal="right" vertical="top" wrapText="1"/>
    </xf>
    <xf numFmtId="171" fontId="31" fillId="24" borderId="49" xfId="35" applyFont="1" applyFill="1" applyBorder="1" applyAlignment="1">
      <alignment horizontal="right" vertical="top" wrapText="1"/>
    </xf>
    <xf numFmtId="0" fontId="26" fillId="24" borderId="0" xfId="0" quotePrefix="1" applyFont="1" applyFill="1" applyBorder="1" applyAlignment="1" applyProtection="1">
      <alignment textRotation="255"/>
      <protection hidden="1"/>
    </xf>
    <xf numFmtId="0" fontId="27" fillId="24" borderId="21" xfId="0" applyFont="1" applyFill="1" applyBorder="1" applyAlignment="1">
      <alignment horizontal="center" vertical="center" wrapText="1"/>
    </xf>
    <xf numFmtId="16" fontId="27" fillId="24" borderId="50" xfId="0" applyNumberFormat="1" applyFont="1" applyFill="1" applyBorder="1" applyAlignment="1">
      <alignment horizontal="center" vertical="center" wrapText="1"/>
    </xf>
    <xf numFmtId="171" fontId="20" fillId="0" borderId="15" xfId="35" applyFont="1" applyFill="1" applyBorder="1" applyAlignment="1">
      <alignment horizontal="right" vertical="top" wrapText="1"/>
    </xf>
    <xf numFmtId="171" fontId="20" fillId="0" borderId="17" xfId="35" applyFont="1" applyFill="1" applyBorder="1" applyAlignment="1">
      <alignment horizontal="right" vertical="top" wrapText="1"/>
    </xf>
    <xf numFmtId="171" fontId="20" fillId="24" borderId="31" xfId="35" applyFont="1" applyFill="1" applyBorder="1" applyAlignment="1">
      <alignment horizontal="justify" vertical="top" wrapText="1"/>
    </xf>
    <xf numFmtId="171" fontId="20" fillId="0" borderId="37" xfId="35" applyFont="1" applyFill="1" applyBorder="1" applyAlignment="1">
      <alignment horizontal="right" vertical="top" wrapText="1"/>
    </xf>
    <xf numFmtId="171" fontId="20" fillId="25" borderId="16" xfId="35" applyFont="1" applyFill="1" applyBorder="1" applyAlignment="1">
      <alignment horizontal="right" vertical="top" wrapText="1"/>
    </xf>
    <xf numFmtId="171" fontId="20" fillId="0" borderId="16" xfId="35" applyFont="1" applyFill="1" applyBorder="1" applyAlignment="1">
      <alignment horizontal="right" vertical="top" wrapText="1"/>
    </xf>
    <xf numFmtId="171" fontId="20" fillId="0" borderId="14" xfId="35" applyFont="1" applyFill="1" applyBorder="1" applyAlignment="1">
      <alignment horizontal="justify" vertical="top" wrapText="1"/>
    </xf>
    <xf numFmtId="171" fontId="0" fillId="0" borderId="0" xfId="0" applyNumberFormat="1"/>
    <xf numFmtId="171" fontId="20" fillId="0" borderId="15" xfId="35" applyFont="1" applyBorder="1"/>
    <xf numFmtId="171" fontId="20" fillId="0" borderId="11" xfId="35" applyFont="1" applyFill="1" applyBorder="1"/>
    <xf numFmtId="171" fontId="20" fillId="0" borderId="17" xfId="35" applyFont="1" applyBorder="1"/>
    <xf numFmtId="16" fontId="30" fillId="24" borderId="47" xfId="0" applyNumberFormat="1" applyFont="1" applyFill="1" applyBorder="1" applyAlignment="1">
      <alignment horizontal="center" vertical="center" wrapText="1"/>
    </xf>
    <xf numFmtId="16" fontId="30" fillId="24" borderId="14" xfId="0" applyNumberFormat="1" applyFont="1" applyFill="1" applyBorder="1" applyAlignment="1">
      <alignment horizontal="center" vertical="center" wrapText="1"/>
    </xf>
    <xf numFmtId="0" fontId="30" fillId="24" borderId="47" xfId="0" applyFont="1" applyFill="1" applyBorder="1" applyAlignment="1">
      <alignment horizontal="justify" vertical="justify" wrapText="1"/>
    </xf>
    <xf numFmtId="0" fontId="30" fillId="24" borderId="30" xfId="0" applyFont="1" applyFill="1" applyBorder="1" applyAlignment="1">
      <alignment horizontal="justify" vertical="justify" wrapText="1"/>
    </xf>
    <xf numFmtId="0" fontId="26" fillId="25" borderId="51" xfId="0" applyFont="1" applyFill="1" applyBorder="1" applyAlignment="1" applyProtection="1">
      <alignment horizontal="center" textRotation="255" wrapText="1"/>
      <protection hidden="1"/>
    </xf>
    <xf numFmtId="0" fontId="26" fillId="25" borderId="52" xfId="0" applyFont="1" applyFill="1" applyBorder="1" applyAlignment="1" applyProtection="1">
      <alignment horizontal="center" textRotation="255" wrapText="1"/>
      <protection hidden="1"/>
    </xf>
    <xf numFmtId="0" fontId="26" fillId="25" borderId="58" xfId="0" applyFont="1" applyFill="1" applyBorder="1" applyAlignment="1" applyProtection="1">
      <alignment horizontal="center" textRotation="255" wrapText="1"/>
      <protection hidden="1"/>
    </xf>
    <xf numFmtId="0" fontId="26" fillId="25" borderId="59" xfId="0" applyFont="1" applyFill="1" applyBorder="1" applyAlignment="1" applyProtection="1">
      <alignment horizontal="center" textRotation="255" wrapText="1"/>
      <protection hidden="1"/>
    </xf>
    <xf numFmtId="0" fontId="26" fillId="25" borderId="53" xfId="0" applyFont="1" applyFill="1" applyBorder="1" applyAlignment="1" applyProtection="1">
      <alignment horizontal="center" textRotation="255" wrapText="1"/>
      <protection hidden="1"/>
    </xf>
    <xf numFmtId="0" fontId="26" fillId="25" borderId="55" xfId="0" applyFont="1" applyFill="1" applyBorder="1" applyAlignment="1" applyProtection="1">
      <alignment horizontal="center" textRotation="255" wrapText="1"/>
      <protection hidden="1"/>
    </xf>
    <xf numFmtId="0" fontId="26" fillId="24" borderId="34" xfId="0" quotePrefix="1" applyFont="1" applyFill="1" applyBorder="1" applyAlignment="1" applyProtection="1">
      <alignment horizontal="center"/>
      <protection hidden="1"/>
    </xf>
    <xf numFmtId="0" fontId="26" fillId="24" borderId="43" xfId="0" quotePrefix="1" applyFont="1" applyFill="1" applyBorder="1" applyAlignment="1" applyProtection="1">
      <alignment horizontal="center"/>
      <protection hidden="1"/>
    </xf>
    <xf numFmtId="16" fontId="30" fillId="24" borderId="56" xfId="0" applyNumberFormat="1" applyFont="1" applyFill="1" applyBorder="1" applyAlignment="1">
      <alignment horizontal="center" vertical="center" wrapText="1"/>
    </xf>
    <xf numFmtId="16" fontId="30" fillId="24" borderId="57" xfId="0" applyNumberFormat="1" applyFont="1" applyFill="1" applyBorder="1" applyAlignment="1">
      <alignment horizontal="center" vertical="center" wrapText="1"/>
    </xf>
    <xf numFmtId="0" fontId="30" fillId="24" borderId="56" xfId="0" applyFont="1" applyFill="1" applyBorder="1" applyAlignment="1">
      <alignment horizontal="left" vertical="justify" wrapText="1"/>
    </xf>
    <xf numFmtId="0" fontId="30" fillId="24" borderId="57" xfId="0" applyFont="1" applyFill="1" applyBorder="1" applyAlignment="1">
      <alignment horizontal="left" vertical="justify" wrapText="1"/>
    </xf>
    <xf numFmtId="0" fontId="25" fillId="24" borderId="34" xfId="0" applyFont="1" applyFill="1" applyBorder="1" applyAlignment="1">
      <alignment horizontal="center" vertical="top" wrapText="1"/>
    </xf>
    <xf numFmtId="0" fontId="25" fillId="24" borderId="44" xfId="0" applyFont="1" applyFill="1" applyBorder="1" applyAlignment="1">
      <alignment horizontal="center" vertical="top" wrapText="1"/>
    </xf>
    <xf numFmtId="0" fontId="23" fillId="24" borderId="34" xfId="0" applyFont="1" applyFill="1" applyBorder="1" applyAlignment="1">
      <alignment horizontal="center"/>
    </xf>
    <xf numFmtId="0" fontId="23" fillId="24" borderId="43" xfId="0" applyFont="1" applyFill="1" applyBorder="1" applyAlignment="1">
      <alignment horizontal="center"/>
    </xf>
    <xf numFmtId="0" fontId="23" fillId="24" borderId="44" xfId="0" applyFont="1" applyFill="1" applyBorder="1" applyAlignment="1">
      <alignment horizontal="center"/>
    </xf>
    <xf numFmtId="0" fontId="26" fillId="24" borderId="34" xfId="0" quotePrefix="1" applyFont="1" applyFill="1" applyBorder="1" applyAlignment="1" applyProtection="1">
      <alignment horizontal="center" vertical="center" wrapText="1"/>
      <protection hidden="1"/>
    </xf>
    <xf numFmtId="0" fontId="26" fillId="24" borderId="43" xfId="0" quotePrefix="1" applyFont="1" applyFill="1" applyBorder="1" applyAlignment="1" applyProtection="1">
      <alignment horizontal="center" vertical="center" wrapText="1"/>
      <protection hidden="1"/>
    </xf>
    <xf numFmtId="0" fontId="26" fillId="24" borderId="44" xfId="0" quotePrefix="1" applyFont="1" applyFill="1" applyBorder="1" applyAlignment="1" applyProtection="1">
      <alignment horizontal="center" vertical="center" wrapText="1"/>
      <protection hidden="1"/>
    </xf>
    <xf numFmtId="0" fontId="25" fillId="25" borderId="34" xfId="0" applyFont="1" applyFill="1" applyBorder="1" applyAlignment="1">
      <alignment horizontal="center" vertical="justify" wrapText="1"/>
    </xf>
    <xf numFmtId="0" fontId="25" fillId="25" borderId="43" xfId="0" applyFont="1" applyFill="1" applyBorder="1" applyAlignment="1">
      <alignment horizontal="center" vertical="justify" wrapText="1"/>
    </xf>
    <xf numFmtId="0" fontId="25" fillId="25" borderId="44" xfId="0" applyFont="1" applyFill="1" applyBorder="1" applyAlignment="1">
      <alignment horizontal="center" vertical="justify" wrapText="1"/>
    </xf>
    <xf numFmtId="0" fontId="21" fillId="25" borderId="34" xfId="0" applyFont="1" applyFill="1" applyBorder="1" applyAlignment="1">
      <alignment horizontal="center" vertical="justify" wrapText="1"/>
    </xf>
    <xf numFmtId="0" fontId="21" fillId="25" borderId="43" xfId="0" applyFont="1" applyFill="1" applyBorder="1" applyAlignment="1">
      <alignment horizontal="center" vertical="justify" wrapText="1"/>
    </xf>
    <xf numFmtId="0" fontId="21" fillId="25" borderId="44" xfId="0" applyFont="1" applyFill="1" applyBorder="1" applyAlignment="1">
      <alignment horizontal="center" vertical="justify" wrapText="1"/>
    </xf>
    <xf numFmtId="0" fontId="23" fillId="25" borderId="34" xfId="0" applyFont="1" applyFill="1" applyBorder="1" applyAlignment="1">
      <alignment horizontal="center"/>
    </xf>
    <xf numFmtId="0" fontId="23" fillId="25" borderId="43" xfId="0" applyFont="1" applyFill="1" applyBorder="1" applyAlignment="1">
      <alignment horizontal="center"/>
    </xf>
    <xf numFmtId="0" fontId="23" fillId="25" borderId="44" xfId="0" applyFont="1" applyFill="1" applyBorder="1" applyAlignment="1">
      <alignment horizontal="center"/>
    </xf>
    <xf numFmtId="0" fontId="20" fillId="24" borderId="51" xfId="0" applyFont="1" applyFill="1" applyBorder="1" applyAlignment="1">
      <alignment horizontal="justify" vertical="justify" wrapText="1"/>
    </xf>
    <xf numFmtId="0" fontId="20" fillId="24" borderId="45" xfId="0" applyFont="1" applyFill="1" applyBorder="1" applyAlignment="1">
      <alignment horizontal="justify" vertical="justify" wrapText="1"/>
    </xf>
    <xf numFmtId="0" fontId="20" fillId="24" borderId="52" xfId="0" applyFont="1" applyFill="1" applyBorder="1" applyAlignment="1">
      <alignment horizontal="justify" vertical="justify" wrapText="1"/>
    </xf>
    <xf numFmtId="0" fontId="20" fillId="24" borderId="53" xfId="0" applyFont="1" applyFill="1" applyBorder="1" applyAlignment="1">
      <alignment horizontal="justify" vertical="justify" wrapText="1"/>
    </xf>
    <xf numFmtId="0" fontId="20" fillId="24" borderId="54" xfId="0" applyFont="1" applyFill="1" applyBorder="1" applyAlignment="1">
      <alignment horizontal="justify" vertical="justify" wrapText="1"/>
    </xf>
    <xf numFmtId="0" fontId="20" fillId="24" borderId="55" xfId="0" applyFont="1" applyFill="1" applyBorder="1" applyAlignment="1">
      <alignment horizontal="justify" vertical="justify" wrapText="1"/>
    </xf>
    <xf numFmtId="0" fontId="25" fillId="24" borderId="54" xfId="0" applyFont="1" applyFill="1" applyBorder="1" applyAlignment="1">
      <alignment horizontal="justify" vertical="justify" wrapText="1"/>
    </xf>
    <xf numFmtId="0" fontId="21" fillId="0" borderId="10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16" fontId="30" fillId="24" borderId="61" xfId="0" applyNumberFormat="1" applyFont="1" applyFill="1" applyBorder="1" applyAlignment="1">
      <alignment horizontal="center" vertical="center" wrapText="1"/>
    </xf>
    <xf numFmtId="16" fontId="30" fillId="24" borderId="62" xfId="0" applyNumberFormat="1" applyFont="1" applyFill="1" applyBorder="1" applyAlignment="1">
      <alignment horizontal="center" vertical="center" wrapText="1"/>
    </xf>
    <xf numFmtId="0" fontId="30" fillId="24" borderId="61" xfId="0" applyFont="1" applyFill="1" applyBorder="1" applyAlignment="1">
      <alignment horizontal="justify" vertical="justify" wrapText="1"/>
    </xf>
    <xf numFmtId="0" fontId="30" fillId="24" borderId="62" xfId="0" applyFont="1" applyFill="1" applyBorder="1" applyAlignment="1">
      <alignment horizontal="justify" vertical="justify" wrapText="1"/>
    </xf>
    <xf numFmtId="0" fontId="30" fillId="24" borderId="56" xfId="0" applyFont="1" applyFill="1" applyBorder="1" applyAlignment="1">
      <alignment horizontal="justify" vertical="justify" wrapText="1"/>
    </xf>
    <xf numFmtId="0" fontId="30" fillId="24" borderId="57" xfId="0" applyFont="1" applyFill="1" applyBorder="1" applyAlignment="1">
      <alignment horizontal="justify" vertical="justify" wrapText="1"/>
    </xf>
    <xf numFmtId="16" fontId="30" fillId="24" borderId="29" xfId="0" applyNumberFormat="1" applyFont="1" applyFill="1" applyBorder="1" applyAlignment="1">
      <alignment horizontal="center" vertical="center" wrapText="1"/>
    </xf>
    <xf numFmtId="16" fontId="30" fillId="24" borderId="60" xfId="0" applyNumberFormat="1" applyFont="1" applyFill="1" applyBorder="1" applyAlignment="1">
      <alignment horizontal="center" vertical="center" wrapText="1"/>
    </xf>
  </cellXfs>
  <cellStyles count="45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31" builtinId="4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Separador de milhares" xfId="35" builtinId="3"/>
    <cellStyle name="Separador de milhares_Biociencias" xfId="36"/>
    <cellStyle name="Texto de Aviso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Daniel/DOUTORADO%20USP/Monitoria%20I/Aula%2006.05/gabarito1,2%20e%203_06.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ercicio 1 - Depreciação"/>
      <sheetName val="Exercicio 2 - Impairment"/>
      <sheetName val="Exercicio 3 - Balanço Sucessivo"/>
      <sheetName val="DFC - Método Direto"/>
      <sheetName val="DFC - Método Indireto"/>
    </sheetNames>
    <sheetDataSet>
      <sheetData sheetId="0"/>
      <sheetData sheetId="1"/>
      <sheetData sheetId="2">
        <row r="8">
          <cell r="B8">
            <v>40000</v>
          </cell>
          <cell r="T8">
            <v>40000</v>
          </cell>
        </row>
        <row r="9">
          <cell r="B9">
            <v>1560000</v>
          </cell>
          <cell r="T9">
            <v>1150440</v>
          </cell>
        </row>
        <row r="10">
          <cell r="T10">
            <v>10000</v>
          </cell>
        </row>
        <row r="13">
          <cell r="L13">
            <v>240000</v>
          </cell>
        </row>
        <row r="14">
          <cell r="M14">
            <v>10000</v>
          </cell>
        </row>
        <row r="16">
          <cell r="H16">
            <v>180000</v>
          </cell>
        </row>
        <row r="20">
          <cell r="T20">
            <v>30000</v>
          </cell>
        </row>
        <row r="25">
          <cell r="S25">
            <v>175560</v>
          </cell>
        </row>
        <row r="30">
          <cell r="R30">
            <v>170000</v>
          </cell>
        </row>
        <row r="34">
          <cell r="R34">
            <v>-7200</v>
          </cell>
        </row>
        <row r="35">
          <cell r="R35">
            <v>40000</v>
          </cell>
        </row>
        <row r="37">
          <cell r="R37">
            <v>184800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4"/>
  <sheetViews>
    <sheetView tabSelected="1" zoomScale="70" workbookViewId="0">
      <selection activeCell="G14" sqref="G14"/>
    </sheetView>
  </sheetViews>
  <sheetFormatPr defaultRowHeight="12.75"/>
  <cols>
    <col min="1" max="1" width="48" style="23" bestFit="1" customWidth="1"/>
    <col min="2" max="2" width="31.140625" style="23" customWidth="1"/>
    <col min="3" max="3" width="43.7109375" style="23" bestFit="1" customWidth="1"/>
    <col min="4" max="4" width="16.7109375" style="23" bestFit="1" customWidth="1"/>
    <col min="5" max="5" width="3.5703125" style="23" customWidth="1"/>
    <col min="6" max="6" width="40.7109375" style="24" customWidth="1"/>
    <col min="7" max="7" width="22.7109375" style="26" bestFit="1" customWidth="1"/>
    <col min="8" max="11" width="22.7109375" style="23" bestFit="1" customWidth="1"/>
    <col min="12" max="14" width="22.28515625" style="23" bestFit="1" customWidth="1"/>
    <col min="15" max="15" width="22.28515625" style="23" customWidth="1"/>
    <col min="16" max="16" width="22.28515625" style="23" bestFit="1" customWidth="1"/>
    <col min="17" max="20" width="22.28515625" style="23" customWidth="1"/>
    <col min="21" max="21" width="9.85546875" style="23" customWidth="1"/>
    <col min="22" max="22" width="49.42578125" style="23" bestFit="1" customWidth="1"/>
    <col min="23" max="23" width="18.5703125" style="23" bestFit="1" customWidth="1"/>
    <col min="24" max="24" width="18.5703125" style="23" customWidth="1"/>
    <col min="25" max="25" width="17.85546875" style="23" bestFit="1" customWidth="1"/>
    <col min="26" max="26" width="32.5703125" style="23" bestFit="1" customWidth="1"/>
    <col min="27" max="27" width="28.85546875" style="23" bestFit="1" customWidth="1"/>
    <col min="28" max="28" width="32" style="23" bestFit="1" customWidth="1"/>
    <col min="29" max="29" width="18.5703125" style="23" bestFit="1" customWidth="1"/>
    <col min="30" max="30" width="16.28515625" style="23" bestFit="1" customWidth="1"/>
    <col min="31" max="31" width="16.85546875" style="23" bestFit="1" customWidth="1"/>
    <col min="32" max="32" width="14.85546875" style="23" bestFit="1" customWidth="1"/>
    <col min="33" max="33" width="16.140625" style="23" customWidth="1"/>
    <col min="34" max="34" width="14.5703125" style="23" bestFit="1" customWidth="1"/>
    <col min="35" max="16384" width="9.140625" style="23"/>
  </cols>
  <sheetData>
    <row r="1" spans="1:34" ht="13.5" thickBot="1">
      <c r="A1" s="170" t="s">
        <v>29</v>
      </c>
      <c r="B1" s="171"/>
      <c r="C1" s="171"/>
      <c r="D1" s="172"/>
      <c r="G1" s="25"/>
    </row>
    <row r="2" spans="1:34" ht="13.5" thickBot="1">
      <c r="J2" s="27"/>
    </row>
    <row r="3" spans="1:34" ht="15">
      <c r="A3" s="173" t="s">
        <v>30</v>
      </c>
      <c r="B3" s="174"/>
      <c r="C3" s="174"/>
      <c r="D3" s="175"/>
      <c r="E3" s="28"/>
      <c r="F3" s="29"/>
      <c r="P3" s="30"/>
      <c r="Q3" s="30"/>
      <c r="R3" s="30"/>
      <c r="S3" s="30"/>
      <c r="T3" s="30"/>
    </row>
    <row r="4" spans="1:34" ht="37.5" customHeight="1" thickBot="1">
      <c r="A4" s="176" t="s">
        <v>31</v>
      </c>
      <c r="B4" s="177"/>
      <c r="C4" s="177"/>
      <c r="D4" s="178"/>
      <c r="E4" s="28"/>
      <c r="F4" s="179"/>
      <c r="G4" s="179"/>
      <c r="P4" s="30"/>
      <c r="Q4" s="30"/>
      <c r="R4" s="30"/>
      <c r="S4" s="30"/>
      <c r="T4" s="30"/>
    </row>
    <row r="5" spans="1:34" ht="18.75" customHeight="1" thickBot="1">
      <c r="F5" s="158" t="s">
        <v>32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60"/>
      <c r="U5" s="31"/>
      <c r="V5" s="161" t="s">
        <v>33</v>
      </c>
      <c r="W5" s="162"/>
      <c r="X5" s="162"/>
      <c r="Y5" s="162"/>
      <c r="Z5" s="163"/>
      <c r="AA5" s="32"/>
      <c r="AB5" s="32"/>
      <c r="AC5" s="32"/>
      <c r="AD5" s="32"/>
      <c r="AE5" s="32"/>
      <c r="AF5" s="33"/>
      <c r="AG5" s="33"/>
      <c r="AH5" s="33"/>
    </row>
    <row r="6" spans="1:34" ht="24" customHeight="1" thickBot="1">
      <c r="A6" s="164" t="s">
        <v>34</v>
      </c>
      <c r="B6" s="165"/>
      <c r="C6" s="165"/>
      <c r="D6" s="166"/>
      <c r="F6" s="34" t="s">
        <v>35</v>
      </c>
      <c r="G6" s="35">
        <v>40179</v>
      </c>
      <c r="H6" s="35" t="s">
        <v>36</v>
      </c>
      <c r="I6" s="35">
        <v>40219</v>
      </c>
      <c r="J6" s="35">
        <v>40231</v>
      </c>
      <c r="K6" s="35">
        <v>40232</v>
      </c>
      <c r="L6" s="36">
        <v>40245</v>
      </c>
      <c r="M6" s="36">
        <v>40255</v>
      </c>
      <c r="N6" s="36">
        <v>40543</v>
      </c>
      <c r="O6" s="36" t="s">
        <v>37</v>
      </c>
      <c r="P6" s="36" t="s">
        <v>38</v>
      </c>
      <c r="Q6" s="36" t="s">
        <v>39</v>
      </c>
      <c r="R6" s="36" t="s">
        <v>40</v>
      </c>
      <c r="S6" s="36" t="s">
        <v>41</v>
      </c>
      <c r="T6" s="37" t="s">
        <v>42</v>
      </c>
      <c r="V6" s="38" t="s">
        <v>43</v>
      </c>
      <c r="W6" s="39" t="s">
        <v>44</v>
      </c>
      <c r="X6" s="40" t="s">
        <v>45</v>
      </c>
      <c r="Y6" s="40" t="s">
        <v>46</v>
      </c>
      <c r="Z6" s="40" t="s">
        <v>47</v>
      </c>
    </row>
    <row r="7" spans="1:34" ht="18.75">
      <c r="A7" s="41"/>
      <c r="B7" s="41"/>
      <c r="C7" s="41"/>
      <c r="D7" s="41"/>
      <c r="F7" s="42" t="s">
        <v>48</v>
      </c>
      <c r="G7" s="43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5"/>
      <c r="V7" s="46" t="s">
        <v>49</v>
      </c>
      <c r="W7" s="47">
        <f>G23</f>
        <v>1300000</v>
      </c>
      <c r="X7" s="48"/>
      <c r="Y7" s="48">
        <v>0</v>
      </c>
      <c r="Z7" s="48">
        <f>SUM(W7:Y7)</f>
        <v>1300000</v>
      </c>
    </row>
    <row r="8" spans="1:34" ht="15.75">
      <c r="A8" s="49" t="s">
        <v>50</v>
      </c>
      <c r="B8" s="50">
        <v>40000</v>
      </c>
      <c r="C8" s="51"/>
      <c r="D8" s="52"/>
      <c r="F8" s="53" t="str">
        <f>A8</f>
        <v>Caixa</v>
      </c>
      <c r="G8" s="54">
        <f>B8</f>
        <v>40000</v>
      </c>
      <c r="H8" s="55">
        <f t="shared" ref="H8:R8" si="0">G8</f>
        <v>40000</v>
      </c>
      <c r="I8" s="55">
        <f t="shared" si="0"/>
        <v>40000</v>
      </c>
      <c r="J8" s="55">
        <f t="shared" si="0"/>
        <v>40000</v>
      </c>
      <c r="K8" s="55">
        <f t="shared" si="0"/>
        <v>40000</v>
      </c>
      <c r="L8" s="55">
        <f t="shared" si="0"/>
        <v>40000</v>
      </c>
      <c r="M8" s="55">
        <f t="shared" si="0"/>
        <v>40000</v>
      </c>
      <c r="N8" s="55">
        <f t="shared" si="0"/>
        <v>40000</v>
      </c>
      <c r="O8" s="55">
        <f t="shared" si="0"/>
        <v>40000</v>
      </c>
      <c r="P8" s="55">
        <f t="shared" si="0"/>
        <v>40000</v>
      </c>
      <c r="Q8" s="55">
        <f t="shared" si="0"/>
        <v>40000</v>
      </c>
      <c r="R8" s="55">
        <f t="shared" si="0"/>
        <v>40000</v>
      </c>
      <c r="S8" s="55">
        <f>Q8</f>
        <v>40000</v>
      </c>
      <c r="T8" s="56">
        <f>S8</f>
        <v>40000</v>
      </c>
      <c r="U8" s="57"/>
      <c r="V8" s="58" t="s">
        <v>51</v>
      </c>
      <c r="W8" s="59"/>
      <c r="X8" s="60"/>
      <c r="Y8" s="60">
        <f>R37</f>
        <v>184800</v>
      </c>
      <c r="Z8" s="60">
        <f>Y8</f>
        <v>184800</v>
      </c>
    </row>
    <row r="9" spans="1:34" ht="15.75">
      <c r="A9" s="49" t="s">
        <v>52</v>
      </c>
      <c r="B9" s="50">
        <v>1560000</v>
      </c>
      <c r="C9" s="51"/>
      <c r="D9" s="52"/>
      <c r="F9" s="53" t="s">
        <v>52</v>
      </c>
      <c r="G9" s="54">
        <f>B9</f>
        <v>1560000</v>
      </c>
      <c r="H9" s="61">
        <f>G9-180000</f>
        <v>1380000</v>
      </c>
      <c r="I9" s="55">
        <f>H9</f>
        <v>1380000</v>
      </c>
      <c r="J9" s="61">
        <f>I9+170000</f>
        <v>1550000</v>
      </c>
      <c r="K9" s="62">
        <f>J9</f>
        <v>1550000</v>
      </c>
      <c r="L9" s="63">
        <f>K9-240000</f>
        <v>1310000</v>
      </c>
      <c r="M9" s="61">
        <f>L9-10000</f>
        <v>1300000</v>
      </c>
      <c r="N9" s="55">
        <f t="shared" ref="N9:P10" si="1">M9</f>
        <v>1300000</v>
      </c>
      <c r="O9" s="62">
        <f t="shared" si="1"/>
        <v>1300000</v>
      </c>
      <c r="P9" s="62">
        <f t="shared" si="1"/>
        <v>1300000</v>
      </c>
      <c r="Q9" s="63">
        <f>P9+2000</f>
        <v>1302000</v>
      </c>
      <c r="R9" s="63">
        <f>Q9+24000</f>
        <v>1326000</v>
      </c>
      <c r="S9" s="55">
        <f>Q9+24000</f>
        <v>1326000</v>
      </c>
      <c r="T9" s="64">
        <f>S9-S25</f>
        <v>1150440</v>
      </c>
      <c r="V9" s="65" t="s">
        <v>53</v>
      </c>
      <c r="W9" s="59"/>
      <c r="X9" s="60"/>
      <c r="Y9" s="60"/>
      <c r="Z9" s="60">
        <f>SUM(W9:Y9)</f>
        <v>0</v>
      </c>
    </row>
    <row r="10" spans="1:34" ht="15.75">
      <c r="A10" s="49" t="s">
        <v>54</v>
      </c>
      <c r="B10" s="55" t="s">
        <v>55</v>
      </c>
      <c r="C10" s="51"/>
      <c r="D10" s="52"/>
      <c r="F10" s="53" t="s">
        <v>56</v>
      </c>
      <c r="G10" s="54"/>
      <c r="H10" s="55"/>
      <c r="I10" s="61">
        <v>30000</v>
      </c>
      <c r="J10" s="55">
        <f>I10</f>
        <v>30000</v>
      </c>
      <c r="K10" s="63">
        <f>J10-20000</f>
        <v>10000</v>
      </c>
      <c r="L10" s="62">
        <f>K10</f>
        <v>10000</v>
      </c>
      <c r="M10" s="55">
        <f>L10</f>
        <v>10000</v>
      </c>
      <c r="N10" s="55">
        <f t="shared" si="1"/>
        <v>10000</v>
      </c>
      <c r="O10" s="62">
        <f t="shared" si="1"/>
        <v>10000</v>
      </c>
      <c r="P10" s="62">
        <f t="shared" si="1"/>
        <v>10000</v>
      </c>
      <c r="Q10" s="62">
        <f>P10</f>
        <v>10000</v>
      </c>
      <c r="R10" s="62">
        <f>Q10</f>
        <v>10000</v>
      </c>
      <c r="S10" s="55">
        <f>Q10</f>
        <v>10000</v>
      </c>
      <c r="T10" s="56">
        <f>S10</f>
        <v>10000</v>
      </c>
      <c r="V10" s="66" t="s">
        <v>45</v>
      </c>
      <c r="W10" s="59"/>
      <c r="X10" s="60">
        <f>S24</f>
        <v>9240</v>
      </c>
      <c r="Y10" s="60">
        <f>-X10</f>
        <v>-9240</v>
      </c>
      <c r="Z10" s="60"/>
    </row>
    <row r="11" spans="1:34" ht="19.5" thickBot="1">
      <c r="A11" s="49" t="s">
        <v>57</v>
      </c>
      <c r="B11" s="55">
        <v>300000</v>
      </c>
      <c r="C11" s="51"/>
      <c r="D11" s="52"/>
      <c r="F11" s="42" t="s">
        <v>58</v>
      </c>
      <c r="G11" s="67"/>
      <c r="H11" s="68"/>
      <c r="I11" s="68"/>
      <c r="J11" s="68"/>
      <c r="K11" s="68"/>
      <c r="L11" s="68"/>
      <c r="M11" s="68"/>
      <c r="N11" s="68"/>
      <c r="O11" s="68"/>
      <c r="P11" s="62"/>
      <c r="Q11" s="68"/>
      <c r="R11" s="68"/>
      <c r="S11" s="68"/>
      <c r="T11" s="69"/>
      <c r="V11" s="66" t="s">
        <v>59</v>
      </c>
      <c r="W11" s="59"/>
      <c r="X11" s="60"/>
      <c r="Y11" s="60">
        <f>-S25</f>
        <v>-175560</v>
      </c>
      <c r="Z11" s="60">
        <f>SUM(W11:Y11)</f>
        <v>-175560</v>
      </c>
    </row>
    <row r="12" spans="1:34" ht="17.25" customHeight="1" thickBot="1">
      <c r="A12" s="70"/>
      <c r="B12" s="52"/>
      <c r="C12" s="71"/>
      <c r="D12" s="52"/>
      <c r="F12" s="72" t="s">
        <v>60</v>
      </c>
      <c r="G12" s="67"/>
      <c r="H12" s="73"/>
      <c r="I12" s="68"/>
      <c r="J12" s="68"/>
      <c r="K12" s="68"/>
      <c r="L12" s="68"/>
      <c r="M12" s="68"/>
      <c r="N12" s="68"/>
      <c r="O12" s="68"/>
      <c r="P12" s="62"/>
      <c r="Q12" s="68"/>
      <c r="R12" s="68"/>
      <c r="S12" s="68"/>
      <c r="T12" s="69"/>
      <c r="V12" s="74" t="s">
        <v>61</v>
      </c>
      <c r="W12" s="75">
        <f>SUM(W7:W11)</f>
        <v>1300000</v>
      </c>
      <c r="X12" s="75">
        <f>SUM(X7:X11)</f>
        <v>9240</v>
      </c>
      <c r="Y12" s="76">
        <f>SUM(Y7:Y11)</f>
        <v>0</v>
      </c>
      <c r="Z12" s="77">
        <f>SUM(W12:Y12)</f>
        <v>1309240</v>
      </c>
    </row>
    <row r="13" spans="1:34" ht="16.5" thickBot="1">
      <c r="A13" s="167" t="s">
        <v>62</v>
      </c>
      <c r="B13" s="168"/>
      <c r="C13" s="168"/>
      <c r="D13" s="169"/>
      <c r="F13" s="78" t="s">
        <v>63</v>
      </c>
      <c r="G13" s="79"/>
      <c r="H13" s="80"/>
      <c r="I13" s="62"/>
      <c r="J13" s="62"/>
      <c r="K13" s="62"/>
      <c r="L13" s="63">
        <v>240000</v>
      </c>
      <c r="M13" s="55">
        <f>L13</f>
        <v>240000</v>
      </c>
      <c r="N13" s="55">
        <f>M13</f>
        <v>240000</v>
      </c>
      <c r="O13" s="63">
        <f>N13+40000</f>
        <v>280000</v>
      </c>
      <c r="P13" s="62">
        <f>O13</f>
        <v>280000</v>
      </c>
      <c r="Q13" s="62">
        <f>P13</f>
        <v>280000</v>
      </c>
      <c r="R13" s="63">
        <f>Q13-24000</f>
        <v>256000</v>
      </c>
      <c r="S13" s="55">
        <f>R13</f>
        <v>256000</v>
      </c>
      <c r="T13" s="56">
        <f>S13</f>
        <v>256000</v>
      </c>
    </row>
    <row r="14" spans="1:34" ht="16.5" thickBot="1">
      <c r="A14" s="156" t="s">
        <v>64</v>
      </c>
      <c r="B14" s="157"/>
      <c r="C14" s="156" t="s">
        <v>65</v>
      </c>
      <c r="D14" s="157"/>
      <c r="F14" s="78" t="s">
        <v>66</v>
      </c>
      <c r="G14" s="79"/>
      <c r="H14" s="73"/>
      <c r="I14" s="68"/>
      <c r="J14" s="68"/>
      <c r="K14" s="68"/>
      <c r="L14" s="68"/>
      <c r="M14" s="61">
        <v>10000</v>
      </c>
      <c r="N14" s="55">
        <f>M14</f>
        <v>10000</v>
      </c>
      <c r="O14" s="62">
        <f>N14</f>
        <v>10000</v>
      </c>
      <c r="P14" s="62">
        <f>O14</f>
        <v>10000</v>
      </c>
      <c r="Q14" s="62">
        <f>P14</f>
        <v>10000</v>
      </c>
      <c r="R14" s="62">
        <f>Q14</f>
        <v>10000</v>
      </c>
      <c r="S14" s="55">
        <f>Q14</f>
        <v>10000</v>
      </c>
      <c r="T14" s="56">
        <f>S14</f>
        <v>10000</v>
      </c>
    </row>
    <row r="15" spans="1:34" ht="64.5" customHeight="1">
      <c r="A15" s="140" t="s">
        <v>36</v>
      </c>
      <c r="B15" s="141"/>
      <c r="C15" s="142" t="s">
        <v>67</v>
      </c>
      <c r="D15" s="143"/>
      <c r="F15" s="53" t="s">
        <v>68</v>
      </c>
      <c r="G15" s="54"/>
      <c r="H15" s="80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81"/>
    </row>
    <row r="16" spans="1:34" ht="33" customHeight="1">
      <c r="A16" s="152">
        <v>40219</v>
      </c>
      <c r="B16" s="153"/>
      <c r="C16" s="154" t="s">
        <v>69</v>
      </c>
      <c r="D16" s="155"/>
      <c r="F16" s="78" t="s">
        <v>70</v>
      </c>
      <c r="G16" s="54"/>
      <c r="H16" s="82">
        <v>180000</v>
      </c>
      <c r="I16" s="55">
        <f t="shared" ref="I16:R16" si="2">H16</f>
        <v>180000</v>
      </c>
      <c r="J16" s="55">
        <f t="shared" si="2"/>
        <v>180000</v>
      </c>
      <c r="K16" s="62">
        <f t="shared" si="2"/>
        <v>180000</v>
      </c>
      <c r="L16" s="62">
        <f t="shared" si="2"/>
        <v>180000</v>
      </c>
      <c r="M16" s="55">
        <f t="shared" si="2"/>
        <v>180000</v>
      </c>
      <c r="N16" s="62">
        <f t="shared" si="2"/>
        <v>180000</v>
      </c>
      <c r="O16" s="62">
        <f t="shared" si="2"/>
        <v>180000</v>
      </c>
      <c r="P16" s="62">
        <f t="shared" si="2"/>
        <v>180000</v>
      </c>
      <c r="Q16" s="62">
        <f t="shared" si="2"/>
        <v>180000</v>
      </c>
      <c r="R16" s="62">
        <f t="shared" si="2"/>
        <v>180000</v>
      </c>
      <c r="S16" s="55">
        <f>Q16</f>
        <v>180000</v>
      </c>
      <c r="T16" s="56">
        <f>S16</f>
        <v>180000</v>
      </c>
    </row>
    <row r="17" spans="1:21" ht="33" customHeight="1" thickBot="1">
      <c r="A17" s="140">
        <v>40231</v>
      </c>
      <c r="B17" s="141"/>
      <c r="C17" s="142" t="s">
        <v>71</v>
      </c>
      <c r="D17" s="143"/>
      <c r="F17" s="78" t="s">
        <v>72</v>
      </c>
      <c r="G17" s="83"/>
      <c r="H17" s="84"/>
      <c r="I17" s="85"/>
      <c r="J17" s="85"/>
      <c r="K17" s="85"/>
      <c r="L17" s="85"/>
      <c r="M17" s="85"/>
      <c r="N17" s="86">
        <f>-M16/25</f>
        <v>-7200</v>
      </c>
      <c r="O17" s="62">
        <f>N17</f>
        <v>-7200</v>
      </c>
      <c r="P17" s="62">
        <f>O17</f>
        <v>-7200</v>
      </c>
      <c r="Q17" s="62">
        <f>P17</f>
        <v>-7200</v>
      </c>
      <c r="R17" s="62">
        <f>Q17</f>
        <v>-7200</v>
      </c>
      <c r="S17" s="55">
        <f>Q17</f>
        <v>-7200</v>
      </c>
      <c r="T17" s="56">
        <f>S17</f>
        <v>-7200</v>
      </c>
    </row>
    <row r="18" spans="1:21" ht="42.75" customHeight="1" thickBot="1">
      <c r="A18" s="140">
        <v>40232</v>
      </c>
      <c r="B18" s="141"/>
      <c r="C18" s="142" t="s">
        <v>73</v>
      </c>
      <c r="D18" s="143"/>
      <c r="F18" s="87" t="s">
        <v>74</v>
      </c>
      <c r="G18" s="88">
        <f t="shared" ref="G18:T18" si="3">SUM(G8:G17)</f>
        <v>1600000</v>
      </c>
      <c r="H18" s="88">
        <f t="shared" si="3"/>
        <v>1600000</v>
      </c>
      <c r="I18" s="88">
        <f t="shared" si="3"/>
        <v>1630000</v>
      </c>
      <c r="J18" s="88">
        <f t="shared" si="3"/>
        <v>1800000</v>
      </c>
      <c r="K18" s="88">
        <f t="shared" si="3"/>
        <v>1780000</v>
      </c>
      <c r="L18" s="88">
        <f t="shared" si="3"/>
        <v>1780000</v>
      </c>
      <c r="M18" s="88">
        <f t="shared" si="3"/>
        <v>1780000</v>
      </c>
      <c r="N18" s="88">
        <f t="shared" si="3"/>
        <v>1772800</v>
      </c>
      <c r="O18" s="88">
        <f t="shared" si="3"/>
        <v>1812800</v>
      </c>
      <c r="P18" s="88">
        <f t="shared" si="3"/>
        <v>1812800</v>
      </c>
      <c r="Q18" s="88">
        <f t="shared" si="3"/>
        <v>1814800</v>
      </c>
      <c r="R18" s="88">
        <f t="shared" si="3"/>
        <v>1814800</v>
      </c>
      <c r="S18" s="88">
        <f t="shared" si="3"/>
        <v>1814800</v>
      </c>
      <c r="T18" s="88">
        <f t="shared" si="3"/>
        <v>1639240</v>
      </c>
    </row>
    <row r="19" spans="1:21" ht="80.25" customHeight="1">
      <c r="A19" s="140">
        <v>40245</v>
      </c>
      <c r="B19" s="141"/>
      <c r="C19" s="142" t="s">
        <v>75</v>
      </c>
      <c r="D19" s="143"/>
      <c r="F19" s="89" t="s">
        <v>76</v>
      </c>
      <c r="G19" s="90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2"/>
    </row>
    <row r="20" spans="1:21" ht="57.75" customHeight="1">
      <c r="A20" s="140">
        <v>40255</v>
      </c>
      <c r="B20" s="141"/>
      <c r="C20" s="142" t="s">
        <v>77</v>
      </c>
      <c r="D20" s="143"/>
      <c r="F20" s="72" t="s">
        <v>78</v>
      </c>
      <c r="G20" s="54"/>
      <c r="H20" s="55"/>
      <c r="I20" s="63">
        <v>30000</v>
      </c>
      <c r="J20" s="55">
        <f t="shared" ref="J20:R20" si="4">I20</f>
        <v>30000</v>
      </c>
      <c r="K20" s="62">
        <f t="shared" si="4"/>
        <v>30000</v>
      </c>
      <c r="L20" s="62">
        <f t="shared" si="4"/>
        <v>30000</v>
      </c>
      <c r="M20" s="62">
        <f t="shared" si="4"/>
        <v>30000</v>
      </c>
      <c r="N20" s="55">
        <f t="shared" si="4"/>
        <v>30000</v>
      </c>
      <c r="O20" s="62">
        <f t="shared" si="4"/>
        <v>30000</v>
      </c>
      <c r="P20" s="62">
        <f t="shared" si="4"/>
        <v>30000</v>
      </c>
      <c r="Q20" s="93">
        <f t="shared" si="4"/>
        <v>30000</v>
      </c>
      <c r="R20" s="93">
        <f t="shared" si="4"/>
        <v>30000</v>
      </c>
      <c r="S20" s="55">
        <f>Q20</f>
        <v>30000</v>
      </c>
      <c r="T20" s="81">
        <f>S20</f>
        <v>30000</v>
      </c>
    </row>
    <row r="21" spans="1:21" ht="15.75">
      <c r="A21" s="140">
        <v>40543</v>
      </c>
      <c r="B21" s="141"/>
      <c r="C21" s="142" t="s">
        <v>79</v>
      </c>
      <c r="D21" s="143"/>
      <c r="F21" s="72" t="s">
        <v>80</v>
      </c>
      <c r="G21" s="54">
        <f>B11</f>
        <v>300000</v>
      </c>
      <c r="H21" s="55">
        <f>G21</f>
        <v>300000</v>
      </c>
      <c r="I21" s="55">
        <f>H21</f>
        <v>300000</v>
      </c>
      <c r="J21" s="55">
        <f t="shared" ref="J21:R21" si="5">I21</f>
        <v>300000</v>
      </c>
      <c r="K21" s="62">
        <f t="shared" si="5"/>
        <v>300000</v>
      </c>
      <c r="L21" s="62">
        <f t="shared" si="5"/>
        <v>300000</v>
      </c>
      <c r="M21" s="62">
        <f t="shared" si="5"/>
        <v>300000</v>
      </c>
      <c r="N21" s="55">
        <f t="shared" si="5"/>
        <v>300000</v>
      </c>
      <c r="O21" s="62">
        <f t="shared" si="5"/>
        <v>300000</v>
      </c>
      <c r="P21" s="62">
        <f t="shared" si="5"/>
        <v>300000</v>
      </c>
      <c r="Q21" s="93">
        <f t="shared" si="5"/>
        <v>300000</v>
      </c>
      <c r="R21" s="93">
        <f t="shared" si="5"/>
        <v>300000</v>
      </c>
      <c r="S21" s="55">
        <f>Q21</f>
        <v>300000</v>
      </c>
      <c r="T21" s="81">
        <f>S21</f>
        <v>300000</v>
      </c>
    </row>
    <row r="22" spans="1:21" ht="54" customHeight="1">
      <c r="A22" s="140" t="s">
        <v>37</v>
      </c>
      <c r="B22" s="141"/>
      <c r="C22" s="142" t="s">
        <v>81</v>
      </c>
      <c r="D22" s="143"/>
      <c r="E22" s="30"/>
      <c r="F22" s="72" t="s">
        <v>82</v>
      </c>
      <c r="G22" s="67"/>
      <c r="H22" s="68"/>
      <c r="I22" s="68"/>
      <c r="J22" s="68"/>
      <c r="K22" s="68"/>
      <c r="L22" s="68"/>
      <c r="M22" s="68"/>
      <c r="N22" s="68"/>
      <c r="O22" s="68"/>
      <c r="P22" s="68"/>
      <c r="Q22" s="93"/>
      <c r="R22" s="93"/>
      <c r="S22" s="68"/>
      <c r="T22" s="69"/>
    </row>
    <row r="23" spans="1:21" ht="34.5" customHeight="1">
      <c r="A23" s="140" t="s">
        <v>38</v>
      </c>
      <c r="B23" s="141"/>
      <c r="C23" s="142" t="s">
        <v>83</v>
      </c>
      <c r="D23" s="143"/>
      <c r="E23" s="30"/>
      <c r="F23" s="72" t="s">
        <v>84</v>
      </c>
      <c r="G23" s="94">
        <v>1300000</v>
      </c>
      <c r="H23" s="55">
        <f t="shared" ref="H23:R23" si="6">G23</f>
        <v>1300000</v>
      </c>
      <c r="I23" s="55">
        <f t="shared" si="6"/>
        <v>1300000</v>
      </c>
      <c r="J23" s="55">
        <f t="shared" si="6"/>
        <v>1300000</v>
      </c>
      <c r="K23" s="62">
        <f t="shared" si="6"/>
        <v>1300000</v>
      </c>
      <c r="L23" s="62">
        <f t="shared" si="6"/>
        <v>1300000</v>
      </c>
      <c r="M23" s="62">
        <f t="shared" si="6"/>
        <v>1300000</v>
      </c>
      <c r="N23" s="55">
        <f t="shared" si="6"/>
        <v>1300000</v>
      </c>
      <c r="O23" s="62">
        <f t="shared" si="6"/>
        <v>1300000</v>
      </c>
      <c r="P23" s="62">
        <f t="shared" si="6"/>
        <v>1300000</v>
      </c>
      <c r="Q23" s="93">
        <f t="shared" si="6"/>
        <v>1300000</v>
      </c>
      <c r="R23" s="93">
        <f t="shared" si="6"/>
        <v>1300000</v>
      </c>
      <c r="S23" s="55">
        <f>Q23</f>
        <v>1300000</v>
      </c>
      <c r="T23" s="81">
        <f>S23</f>
        <v>1300000</v>
      </c>
    </row>
    <row r="24" spans="1:21" ht="35.25" customHeight="1">
      <c r="A24" s="140" t="s">
        <v>39</v>
      </c>
      <c r="B24" s="141"/>
      <c r="C24" s="142" t="s">
        <v>85</v>
      </c>
      <c r="D24" s="143"/>
      <c r="E24" s="30"/>
      <c r="F24" s="53" t="s">
        <v>45</v>
      </c>
      <c r="G24" s="67"/>
      <c r="H24" s="95"/>
      <c r="I24" s="95"/>
      <c r="J24" s="95"/>
      <c r="K24" s="95"/>
      <c r="L24" s="95"/>
      <c r="M24" s="95"/>
      <c r="N24" s="95"/>
      <c r="O24" s="95"/>
      <c r="P24" s="68"/>
      <c r="Q24" s="68"/>
      <c r="R24" s="68"/>
      <c r="S24" s="61">
        <f>R37*0.05</f>
        <v>9240</v>
      </c>
      <c r="T24" s="56">
        <f>S24</f>
        <v>9240</v>
      </c>
    </row>
    <row r="25" spans="1:21" ht="30" customHeight="1" thickBot="1">
      <c r="A25" s="140" t="s">
        <v>40</v>
      </c>
      <c r="B25" s="141"/>
      <c r="C25" s="142" t="s">
        <v>86</v>
      </c>
      <c r="D25" s="143"/>
      <c r="E25" s="26"/>
      <c r="F25" s="96" t="s">
        <v>46</v>
      </c>
      <c r="G25" s="97">
        <f t="shared" ref="G25:R25" si="7">G37</f>
        <v>0</v>
      </c>
      <c r="H25" s="98">
        <f t="shared" si="7"/>
        <v>0</v>
      </c>
      <c r="I25" s="98">
        <f t="shared" si="7"/>
        <v>0</v>
      </c>
      <c r="J25" s="98">
        <f t="shared" si="7"/>
        <v>170000</v>
      </c>
      <c r="K25" s="98">
        <f t="shared" si="7"/>
        <v>150000</v>
      </c>
      <c r="L25" s="98">
        <f t="shared" si="7"/>
        <v>150000</v>
      </c>
      <c r="M25" s="99">
        <f t="shared" si="7"/>
        <v>150000</v>
      </c>
      <c r="N25" s="99">
        <f t="shared" si="7"/>
        <v>142800</v>
      </c>
      <c r="O25" s="99">
        <f t="shared" si="7"/>
        <v>182800</v>
      </c>
      <c r="P25" s="99">
        <f t="shared" si="7"/>
        <v>182800</v>
      </c>
      <c r="Q25" s="99">
        <f t="shared" si="7"/>
        <v>184800</v>
      </c>
      <c r="R25" s="99">
        <f t="shared" si="7"/>
        <v>184800</v>
      </c>
      <c r="S25" s="100">
        <f>R25-S24</f>
        <v>175560</v>
      </c>
      <c r="T25" s="101">
        <v>0</v>
      </c>
    </row>
    <row r="26" spans="1:21" ht="36" customHeight="1" thickBot="1">
      <c r="A26" s="140" t="s">
        <v>41</v>
      </c>
      <c r="B26" s="141"/>
      <c r="C26" s="142" t="s">
        <v>87</v>
      </c>
      <c r="D26" s="143"/>
      <c r="F26" s="87" t="s">
        <v>88</v>
      </c>
      <c r="G26" s="102">
        <f t="shared" ref="G26:T26" si="8">SUM(G20:G25)</f>
        <v>1600000</v>
      </c>
      <c r="H26" s="88">
        <f t="shared" si="8"/>
        <v>1600000</v>
      </c>
      <c r="I26" s="88">
        <f t="shared" si="8"/>
        <v>1630000</v>
      </c>
      <c r="J26" s="88">
        <f t="shared" si="8"/>
        <v>1800000</v>
      </c>
      <c r="K26" s="88">
        <f t="shared" si="8"/>
        <v>1780000</v>
      </c>
      <c r="L26" s="88">
        <f t="shared" si="8"/>
        <v>1780000</v>
      </c>
      <c r="M26" s="88">
        <f t="shared" si="8"/>
        <v>1780000</v>
      </c>
      <c r="N26" s="88">
        <f t="shared" si="8"/>
        <v>1772800</v>
      </c>
      <c r="O26" s="88">
        <f t="shared" si="8"/>
        <v>1812800</v>
      </c>
      <c r="P26" s="88">
        <f t="shared" si="8"/>
        <v>1812800</v>
      </c>
      <c r="Q26" s="88">
        <f t="shared" si="8"/>
        <v>1814800</v>
      </c>
      <c r="R26" s="88">
        <f t="shared" si="8"/>
        <v>1814800</v>
      </c>
      <c r="S26" s="88">
        <f t="shared" si="8"/>
        <v>1814800</v>
      </c>
      <c r="T26" s="88">
        <f t="shared" si="8"/>
        <v>1639240</v>
      </c>
    </row>
    <row r="27" spans="1:21" ht="36" customHeight="1" thickBot="1">
      <c r="A27" s="140" t="s">
        <v>42</v>
      </c>
      <c r="B27" s="141"/>
      <c r="C27" s="142" t="s">
        <v>89</v>
      </c>
      <c r="D27" s="143"/>
      <c r="F27" s="103"/>
      <c r="G27" s="26" t="str">
        <f t="shared" ref="G27:T27" si="9">IF(G26=G18,"ok","verificar")</f>
        <v>ok</v>
      </c>
      <c r="H27" s="26" t="str">
        <f t="shared" si="9"/>
        <v>ok</v>
      </c>
      <c r="I27" s="26" t="str">
        <f t="shared" si="9"/>
        <v>ok</v>
      </c>
      <c r="J27" s="26" t="str">
        <f t="shared" si="9"/>
        <v>ok</v>
      </c>
      <c r="K27" s="26" t="str">
        <f t="shared" si="9"/>
        <v>ok</v>
      </c>
      <c r="L27" s="26" t="str">
        <f t="shared" si="9"/>
        <v>ok</v>
      </c>
      <c r="M27" s="26" t="str">
        <f t="shared" si="9"/>
        <v>ok</v>
      </c>
      <c r="N27" s="26" t="str">
        <f t="shared" si="9"/>
        <v>ok</v>
      </c>
      <c r="O27" s="26" t="str">
        <f t="shared" si="9"/>
        <v>ok</v>
      </c>
      <c r="P27" s="26" t="str">
        <f t="shared" si="9"/>
        <v>ok</v>
      </c>
      <c r="Q27" s="26" t="str">
        <f t="shared" si="9"/>
        <v>ok</v>
      </c>
      <c r="R27" s="26" t="str">
        <f t="shared" si="9"/>
        <v>ok</v>
      </c>
      <c r="S27" s="26" t="str">
        <f t="shared" si="9"/>
        <v>ok</v>
      </c>
      <c r="T27" s="26" t="str">
        <f t="shared" si="9"/>
        <v>ok</v>
      </c>
    </row>
    <row r="28" spans="1:21" ht="19.5" thickBot="1">
      <c r="A28" s="104" t="s">
        <v>90</v>
      </c>
      <c r="B28" s="105"/>
      <c r="C28" s="105"/>
      <c r="D28" s="106"/>
      <c r="F28" s="150" t="s">
        <v>91</v>
      </c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07"/>
      <c r="R28" s="107"/>
      <c r="S28" s="144" t="s">
        <v>92</v>
      </c>
      <c r="T28" s="145"/>
    </row>
    <row r="29" spans="1:21" ht="19.5" customHeight="1" thickBot="1">
      <c r="F29" s="108" t="s">
        <v>93</v>
      </c>
      <c r="G29" s="35">
        <v>40179</v>
      </c>
      <c r="H29" s="35" t="s">
        <v>36</v>
      </c>
      <c r="I29" s="35">
        <v>40219</v>
      </c>
      <c r="J29" s="35">
        <v>40231</v>
      </c>
      <c r="K29" s="35">
        <v>40232</v>
      </c>
      <c r="L29" s="36">
        <v>40245</v>
      </c>
      <c r="M29" s="36">
        <v>40255</v>
      </c>
      <c r="N29" s="36">
        <v>40543</v>
      </c>
      <c r="O29" s="36" t="s">
        <v>37</v>
      </c>
      <c r="P29" s="36" t="s">
        <v>38</v>
      </c>
      <c r="Q29" s="36" t="s">
        <v>39</v>
      </c>
      <c r="R29" s="36" t="s">
        <v>40</v>
      </c>
      <c r="S29" s="146"/>
      <c r="T29" s="147"/>
    </row>
    <row r="30" spans="1:21" ht="33" customHeight="1">
      <c r="F30" s="109" t="s">
        <v>94</v>
      </c>
      <c r="G30" s="110"/>
      <c r="H30" s="110"/>
      <c r="I30" s="110"/>
      <c r="J30" s="111">
        <v>170000</v>
      </c>
      <c r="K30" s="110">
        <f t="shared" ref="K30:R30" si="10">J30</f>
        <v>170000</v>
      </c>
      <c r="L30" s="110">
        <f t="shared" si="10"/>
        <v>170000</v>
      </c>
      <c r="M30" s="110">
        <f t="shared" si="10"/>
        <v>170000</v>
      </c>
      <c r="N30" s="55">
        <f t="shared" si="10"/>
        <v>170000</v>
      </c>
      <c r="O30" s="110">
        <f t="shared" si="10"/>
        <v>170000</v>
      </c>
      <c r="P30" s="62">
        <f t="shared" si="10"/>
        <v>170000</v>
      </c>
      <c r="Q30" s="93">
        <f t="shared" si="10"/>
        <v>170000</v>
      </c>
      <c r="R30" s="93">
        <f t="shared" si="10"/>
        <v>170000</v>
      </c>
      <c r="S30" s="146"/>
      <c r="T30" s="147"/>
    </row>
    <row r="31" spans="1:21" ht="15.75">
      <c r="F31" s="112" t="s">
        <v>95</v>
      </c>
      <c r="G31" s="113"/>
      <c r="H31" s="55"/>
      <c r="I31" s="55"/>
      <c r="J31" s="55"/>
      <c r="K31" s="61">
        <v>-20000</v>
      </c>
      <c r="L31" s="110">
        <f t="shared" ref="L31:R31" si="11">K31</f>
        <v>-20000</v>
      </c>
      <c r="M31" s="55">
        <f t="shared" si="11"/>
        <v>-20000</v>
      </c>
      <c r="N31" s="55">
        <f t="shared" si="11"/>
        <v>-20000</v>
      </c>
      <c r="O31" s="110">
        <f t="shared" si="11"/>
        <v>-20000</v>
      </c>
      <c r="P31" s="62">
        <f t="shared" si="11"/>
        <v>-20000</v>
      </c>
      <c r="Q31" s="93">
        <f t="shared" si="11"/>
        <v>-20000</v>
      </c>
      <c r="R31" s="93">
        <f t="shared" si="11"/>
        <v>-20000</v>
      </c>
      <c r="S31" s="146"/>
      <c r="T31" s="147"/>
    </row>
    <row r="32" spans="1:21" ht="45.75" customHeight="1">
      <c r="F32" s="112" t="s">
        <v>96</v>
      </c>
      <c r="G32" s="114">
        <f t="shared" ref="G32:R32" si="12">SUM(G30:G31)</f>
        <v>0</v>
      </c>
      <c r="H32" s="114">
        <f t="shared" si="12"/>
        <v>0</v>
      </c>
      <c r="I32" s="114">
        <f t="shared" si="12"/>
        <v>0</v>
      </c>
      <c r="J32" s="114">
        <f t="shared" si="12"/>
        <v>170000</v>
      </c>
      <c r="K32" s="114">
        <f t="shared" si="12"/>
        <v>150000</v>
      </c>
      <c r="L32" s="114">
        <f t="shared" si="12"/>
        <v>150000</v>
      </c>
      <c r="M32" s="114">
        <f t="shared" si="12"/>
        <v>150000</v>
      </c>
      <c r="N32" s="114">
        <f t="shared" si="12"/>
        <v>150000</v>
      </c>
      <c r="O32" s="114">
        <f t="shared" si="12"/>
        <v>150000</v>
      </c>
      <c r="P32" s="115">
        <f t="shared" si="12"/>
        <v>150000</v>
      </c>
      <c r="Q32" s="115">
        <f t="shared" si="12"/>
        <v>150000</v>
      </c>
      <c r="R32" s="115">
        <f t="shared" si="12"/>
        <v>150000</v>
      </c>
      <c r="S32" s="146"/>
      <c r="T32" s="147"/>
      <c r="U32" s="116"/>
    </row>
    <row r="33" spans="6:20" ht="33.75" customHeight="1">
      <c r="F33" s="112" t="s">
        <v>101</v>
      </c>
      <c r="G33" s="114"/>
      <c r="H33" s="117"/>
      <c r="I33" s="117"/>
      <c r="J33" s="117"/>
      <c r="K33" s="117"/>
      <c r="L33" s="117"/>
      <c r="M33" s="117"/>
      <c r="N33" s="117"/>
      <c r="O33" s="117"/>
      <c r="P33" s="118"/>
      <c r="Q33" s="118"/>
      <c r="R33" s="118"/>
      <c r="S33" s="146"/>
      <c r="T33" s="147"/>
    </row>
    <row r="34" spans="6:20" ht="35.25" customHeight="1">
      <c r="F34" s="112" t="s">
        <v>97</v>
      </c>
      <c r="G34" s="119"/>
      <c r="H34" s="55"/>
      <c r="I34" s="55"/>
      <c r="J34" s="55"/>
      <c r="K34" s="55"/>
      <c r="L34" s="55"/>
      <c r="M34" s="55"/>
      <c r="N34" s="61">
        <f>N17</f>
        <v>-7200</v>
      </c>
      <c r="O34" s="55">
        <f>N34</f>
        <v>-7200</v>
      </c>
      <c r="P34" s="62">
        <f>O34</f>
        <v>-7200</v>
      </c>
      <c r="Q34" s="93">
        <f>P34</f>
        <v>-7200</v>
      </c>
      <c r="R34" s="93">
        <f>Q34</f>
        <v>-7200</v>
      </c>
      <c r="S34" s="146"/>
      <c r="T34" s="147"/>
    </row>
    <row r="35" spans="6:20" ht="37.5" customHeight="1">
      <c r="F35" s="112" t="s">
        <v>98</v>
      </c>
      <c r="G35" s="114"/>
      <c r="H35" s="68"/>
      <c r="I35" s="68"/>
      <c r="J35" s="68"/>
      <c r="K35" s="68"/>
      <c r="L35" s="68"/>
      <c r="M35" s="55"/>
      <c r="N35" s="55"/>
      <c r="O35" s="61">
        <v>40000</v>
      </c>
      <c r="P35" s="62">
        <f>O35</f>
        <v>40000</v>
      </c>
      <c r="Q35" s="93">
        <f>P35</f>
        <v>40000</v>
      </c>
      <c r="R35" s="93">
        <f>Q35</f>
        <v>40000</v>
      </c>
      <c r="S35" s="146"/>
      <c r="T35" s="147"/>
    </row>
    <row r="36" spans="6:20" ht="36" customHeight="1">
      <c r="F36" s="109" t="s">
        <v>99</v>
      </c>
      <c r="G36" s="120"/>
      <c r="H36" s="68"/>
      <c r="I36" s="68"/>
      <c r="J36" s="68"/>
      <c r="K36" s="68"/>
      <c r="L36" s="68"/>
      <c r="M36" s="68"/>
      <c r="N36" s="68"/>
      <c r="O36" s="68"/>
      <c r="P36" s="121"/>
      <c r="Q36" s="122">
        <v>2000</v>
      </c>
      <c r="R36" s="121">
        <f>Q36</f>
        <v>2000</v>
      </c>
      <c r="S36" s="146"/>
      <c r="T36" s="147"/>
    </row>
    <row r="37" spans="6:20" ht="15.75" thickBot="1">
      <c r="F37" s="123" t="s">
        <v>100</v>
      </c>
      <c r="G37" s="124">
        <f t="shared" ref="G37:R37" si="13">SUM(G32:G36)</f>
        <v>0</v>
      </c>
      <c r="H37" s="124">
        <f t="shared" si="13"/>
        <v>0</v>
      </c>
      <c r="I37" s="124">
        <f t="shared" si="13"/>
        <v>0</v>
      </c>
      <c r="J37" s="124">
        <f t="shared" si="13"/>
        <v>170000</v>
      </c>
      <c r="K37" s="124">
        <f t="shared" si="13"/>
        <v>150000</v>
      </c>
      <c r="L37" s="124">
        <f t="shared" si="13"/>
        <v>150000</v>
      </c>
      <c r="M37" s="124">
        <f t="shared" si="13"/>
        <v>150000</v>
      </c>
      <c r="N37" s="124">
        <f t="shared" si="13"/>
        <v>142800</v>
      </c>
      <c r="O37" s="124">
        <f t="shared" si="13"/>
        <v>182800</v>
      </c>
      <c r="P37" s="125">
        <f t="shared" si="13"/>
        <v>182800</v>
      </c>
      <c r="Q37" s="125">
        <f t="shared" si="13"/>
        <v>184800</v>
      </c>
      <c r="R37" s="125">
        <f t="shared" si="13"/>
        <v>184800</v>
      </c>
      <c r="S37" s="146"/>
      <c r="T37" s="147"/>
    </row>
    <row r="38" spans="6:20" ht="13.5" thickBot="1">
      <c r="L38" s="26"/>
      <c r="S38" s="148"/>
      <c r="T38" s="149"/>
    </row>
    <row r="39" spans="6:20">
      <c r="L39" s="30"/>
      <c r="P39" s="30"/>
      <c r="Q39" s="30"/>
      <c r="R39" s="30"/>
      <c r="S39" s="126"/>
      <c r="T39" s="126"/>
    </row>
    <row r="40" spans="6:20" ht="31.5" customHeight="1">
      <c r="J40" s="26"/>
      <c r="K40" s="26"/>
      <c r="L40" s="26"/>
      <c r="P40" s="26"/>
      <c r="Q40" s="26"/>
      <c r="R40" s="26"/>
    </row>
    <row r="41" spans="6:20">
      <c r="S41" s="30"/>
      <c r="T41" s="30"/>
    </row>
    <row r="42" spans="6:20">
      <c r="S42" s="26"/>
      <c r="T42" s="26"/>
    </row>
    <row r="44" spans="6:20" ht="31.5" customHeight="1"/>
  </sheetData>
  <mergeCells count="38">
    <mergeCell ref="A1:D1"/>
    <mergeCell ref="A3:D3"/>
    <mergeCell ref="A4:D4"/>
    <mergeCell ref="F4:G4"/>
    <mergeCell ref="A14:B14"/>
    <mergeCell ref="C14:D14"/>
    <mergeCell ref="F5:T5"/>
    <mergeCell ref="V5:Z5"/>
    <mergeCell ref="A6:D6"/>
    <mergeCell ref="A13:D13"/>
    <mergeCell ref="A16:B16"/>
    <mergeCell ref="C16:D16"/>
    <mergeCell ref="A17:B17"/>
    <mergeCell ref="C17:D17"/>
    <mergeCell ref="A15:B15"/>
    <mergeCell ref="C15:D15"/>
    <mergeCell ref="A20:B20"/>
    <mergeCell ref="C20:D20"/>
    <mergeCell ref="A18:B18"/>
    <mergeCell ref="C18:D18"/>
    <mergeCell ref="A19:B19"/>
    <mergeCell ref="C19:D19"/>
    <mergeCell ref="A22:B22"/>
    <mergeCell ref="C22:D22"/>
    <mergeCell ref="S28:T38"/>
    <mergeCell ref="A21:B21"/>
    <mergeCell ref="C21:D21"/>
    <mergeCell ref="F28:P28"/>
    <mergeCell ref="A25:B25"/>
    <mergeCell ref="C25:D25"/>
    <mergeCell ref="A23:B23"/>
    <mergeCell ref="C23:D23"/>
    <mergeCell ref="A27:B27"/>
    <mergeCell ref="C27:D27"/>
    <mergeCell ref="A24:B24"/>
    <mergeCell ref="C24:D24"/>
    <mergeCell ref="A26:B26"/>
    <mergeCell ref="C26:D26"/>
  </mergeCells>
  <phoneticPr fontId="19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Normal="100" workbookViewId="0">
      <selection activeCell="A32" sqref="A32"/>
    </sheetView>
  </sheetViews>
  <sheetFormatPr defaultRowHeight="12.75"/>
  <cols>
    <col min="1" max="1" width="75.28515625" customWidth="1"/>
    <col min="2" max="2" width="19.140625" bestFit="1" customWidth="1"/>
  </cols>
  <sheetData>
    <row r="1" spans="1:2" ht="15">
      <c r="A1" s="1"/>
      <c r="B1" s="2"/>
    </row>
    <row r="2" spans="1:2" ht="15.75">
      <c r="A2" s="180" t="s">
        <v>0</v>
      </c>
      <c r="B2" s="181"/>
    </row>
    <row r="3" spans="1:2" ht="15.75">
      <c r="A3" s="182" t="s">
        <v>1</v>
      </c>
      <c r="B3" s="183"/>
    </row>
    <row r="4" spans="1:2" ht="15.75">
      <c r="A4" s="3"/>
      <c r="B4" s="4" t="s">
        <v>2</v>
      </c>
    </row>
    <row r="5" spans="1:2" ht="15">
      <c r="A5" s="5" t="s">
        <v>3</v>
      </c>
      <c r="B5" s="6"/>
    </row>
    <row r="6" spans="1:2" ht="15">
      <c r="A6" s="7" t="s">
        <v>4</v>
      </c>
      <c r="B6" s="20">
        <f>'[1]Exercicio 3 - Balanço Sucessivo'!R30</f>
        <v>170000</v>
      </c>
    </row>
    <row r="7" spans="1:2" ht="15">
      <c r="A7" s="7" t="s">
        <v>5</v>
      </c>
      <c r="B7" s="20">
        <v>0</v>
      </c>
    </row>
    <row r="8" spans="1:2" ht="15">
      <c r="A8" s="7"/>
      <c r="B8" s="20"/>
    </row>
    <row r="9" spans="1:2" ht="15">
      <c r="A9" s="9" t="s">
        <v>6</v>
      </c>
      <c r="B9" s="137">
        <f>SUM(B6:B8)</f>
        <v>170000</v>
      </c>
    </row>
    <row r="10" spans="1:2" ht="15">
      <c r="A10" s="7"/>
      <c r="B10" s="20"/>
    </row>
    <row r="11" spans="1:2" ht="15">
      <c r="A11" s="11" t="s">
        <v>7</v>
      </c>
      <c r="B11" s="20"/>
    </row>
    <row r="12" spans="1:2" ht="15">
      <c r="A12" s="7" t="s">
        <v>8</v>
      </c>
      <c r="B12" s="20">
        <f>'DFC - Método Indireto_1'!B18</f>
        <v>-240000</v>
      </c>
    </row>
    <row r="13" spans="1:2" ht="15">
      <c r="A13" s="7" t="s">
        <v>9</v>
      </c>
      <c r="B13" s="20">
        <f>'DFC - Método Indireto_1'!B19</f>
        <v>-10000</v>
      </c>
    </row>
    <row r="14" spans="1:2" ht="15">
      <c r="A14" s="7" t="s">
        <v>10</v>
      </c>
      <c r="B14" s="20">
        <f>'DFC - Método Indireto_1'!B20</f>
        <v>-180000</v>
      </c>
    </row>
    <row r="15" spans="1:2" ht="15">
      <c r="A15" s="7" t="s">
        <v>11</v>
      </c>
      <c r="B15" s="20">
        <f>'DFC - Método Indireto_1'!B21</f>
        <v>24000</v>
      </c>
    </row>
    <row r="16" spans="1:2" ht="15">
      <c r="A16" s="7" t="s">
        <v>12</v>
      </c>
      <c r="B16" s="20">
        <f>'DFC - Método Indireto_1'!B22</f>
        <v>2000</v>
      </c>
    </row>
    <row r="17" spans="1:2" ht="15">
      <c r="A17" s="7"/>
      <c r="B17" s="20"/>
    </row>
    <row r="18" spans="1:2" ht="15">
      <c r="A18" s="9" t="s">
        <v>13</v>
      </c>
      <c r="B18" s="137">
        <f>SUM(B12:B17)</f>
        <v>-404000</v>
      </c>
    </row>
    <row r="19" spans="1:2" ht="15">
      <c r="A19" s="7"/>
      <c r="B19" s="20"/>
    </row>
    <row r="20" spans="1:2" ht="15">
      <c r="A20" s="11" t="s">
        <v>14</v>
      </c>
      <c r="B20" s="20"/>
    </row>
    <row r="21" spans="1:2" ht="15">
      <c r="A21" s="1" t="s">
        <v>15</v>
      </c>
      <c r="B21" s="20">
        <f>'DFC - Método Indireto_1'!B26</f>
        <v>-175560</v>
      </c>
    </row>
    <row r="22" spans="1:2" ht="15">
      <c r="A22" s="7"/>
      <c r="B22" s="20"/>
    </row>
    <row r="23" spans="1:2" ht="15">
      <c r="A23" s="9" t="s">
        <v>16</v>
      </c>
      <c r="B23" s="137">
        <f>SUM(B21:B22)</f>
        <v>-175560</v>
      </c>
    </row>
    <row r="24" spans="1:2" ht="15">
      <c r="A24" s="7"/>
      <c r="B24" s="138"/>
    </row>
    <row r="25" spans="1:2" ht="15">
      <c r="A25" s="9" t="s">
        <v>17</v>
      </c>
      <c r="B25" s="137">
        <f>B28-B27</f>
        <v>-409560</v>
      </c>
    </row>
    <row r="26" spans="1:2" ht="15">
      <c r="A26" s="7"/>
      <c r="B26" s="20"/>
    </row>
    <row r="27" spans="1:2" ht="15">
      <c r="A27" s="9" t="s">
        <v>18</v>
      </c>
      <c r="B27" s="137">
        <f>'[1]Exercicio 3 - Balanço Sucessivo'!B8+'[1]Exercicio 3 - Balanço Sucessivo'!B9</f>
        <v>1600000</v>
      </c>
    </row>
    <row r="28" spans="1:2" ht="15">
      <c r="A28" s="15" t="s">
        <v>19</v>
      </c>
      <c r="B28" s="139">
        <f>'[1]Exercicio 3 - Balanço Sucessivo'!T8+'[1]Exercicio 3 - Balanço Sucessivo'!T9</f>
        <v>1190440</v>
      </c>
    </row>
  </sheetData>
  <mergeCells count="2">
    <mergeCell ref="A2:B2"/>
    <mergeCell ref="A3:B3"/>
  </mergeCells>
  <phoneticPr fontId="19" type="noConversion"/>
  <pageMargins left="0.39370078740157483" right="0.39370078740157483" top="0.98425196850393704" bottom="0.98425196850393704" header="0.51181102362204722" footer="0.51181102362204722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D33"/>
  <sheetViews>
    <sheetView zoomScaleNormal="100" workbookViewId="0">
      <selection activeCell="A25" sqref="A25"/>
    </sheetView>
  </sheetViews>
  <sheetFormatPr defaultRowHeight="15"/>
  <cols>
    <col min="1" max="1" width="75.28515625" style="1" customWidth="1"/>
    <col min="2" max="2" width="18.7109375" style="2" bestFit="1" customWidth="1"/>
    <col min="3" max="3" width="13.7109375" bestFit="1" customWidth="1"/>
  </cols>
  <sheetData>
    <row r="2" spans="1:2" ht="15.75">
      <c r="A2" s="180" t="s">
        <v>20</v>
      </c>
      <c r="B2" s="181"/>
    </row>
    <row r="3" spans="1:2" ht="15.75">
      <c r="A3" s="182" t="s">
        <v>1</v>
      </c>
      <c r="B3" s="183"/>
    </row>
    <row r="4" spans="1:2" ht="15.75">
      <c r="A4" s="3"/>
      <c r="B4" s="4" t="s">
        <v>2</v>
      </c>
    </row>
    <row r="5" spans="1:2">
      <c r="A5" s="5" t="s">
        <v>3</v>
      </c>
      <c r="B5" s="6"/>
    </row>
    <row r="6" spans="1:2">
      <c r="A6" s="7" t="s">
        <v>137</v>
      </c>
      <c r="B6" s="20">
        <f>'[1]Exercicio 3 - Balanço Sucessivo'!R37</f>
        <v>184800</v>
      </c>
    </row>
    <row r="7" spans="1:2">
      <c r="A7" s="7" t="s">
        <v>21</v>
      </c>
      <c r="B7" s="20"/>
    </row>
    <row r="8" spans="1:2">
      <c r="A8" s="17" t="s">
        <v>22</v>
      </c>
      <c r="B8" s="20">
        <f>-'[1]Exercicio 3 - Balanço Sucessivo'!R34</f>
        <v>7200</v>
      </c>
    </row>
    <row r="9" spans="1:2">
      <c r="A9" s="17" t="s">
        <v>23</v>
      </c>
      <c r="B9" s="20">
        <f>-'[1]Exercicio 3 - Balanço Sucessivo'!R35</f>
        <v>-40000</v>
      </c>
    </row>
    <row r="10" spans="1:2">
      <c r="A10" s="17" t="s">
        <v>24</v>
      </c>
      <c r="B10" s="20">
        <v>-2000</v>
      </c>
    </row>
    <row r="11" spans="1:2">
      <c r="A11" s="18" t="s">
        <v>25</v>
      </c>
      <c r="B11" s="20">
        <f>SUM(B6:B10)</f>
        <v>150000</v>
      </c>
    </row>
    <row r="12" spans="1:2">
      <c r="A12" s="18"/>
      <c r="B12" s="20"/>
    </row>
    <row r="13" spans="1:2">
      <c r="A13" s="7" t="s">
        <v>26</v>
      </c>
      <c r="B13" s="20">
        <f>-'[1]Exercicio 3 - Balanço Sucessivo'!T10</f>
        <v>-10000</v>
      </c>
    </row>
    <row r="14" spans="1:2">
      <c r="A14" s="7" t="s">
        <v>27</v>
      </c>
      <c r="B14" s="20">
        <f>'[1]Exercicio 3 - Balanço Sucessivo'!T20</f>
        <v>30000</v>
      </c>
    </row>
    <row r="15" spans="1:2">
      <c r="A15" s="9" t="s">
        <v>6</v>
      </c>
      <c r="B15" s="137">
        <f>SUM(B11:B14)</f>
        <v>170000</v>
      </c>
    </row>
    <row r="16" spans="1:2">
      <c r="A16" s="7"/>
      <c r="B16" s="20"/>
    </row>
    <row r="17" spans="1:4">
      <c r="A17" s="11" t="s">
        <v>7</v>
      </c>
      <c r="B17" s="20"/>
    </row>
    <row r="18" spans="1:4">
      <c r="A18" s="7" t="s">
        <v>8</v>
      </c>
      <c r="B18" s="20">
        <f>-'[1]Exercicio 3 - Balanço Sucessivo'!L13</f>
        <v>-240000</v>
      </c>
    </row>
    <row r="19" spans="1:4">
      <c r="A19" s="7" t="s">
        <v>9</v>
      </c>
      <c r="B19" s="20">
        <f>-'[1]Exercicio 3 - Balanço Sucessivo'!M14</f>
        <v>-10000</v>
      </c>
    </row>
    <row r="20" spans="1:4">
      <c r="A20" s="7" t="s">
        <v>10</v>
      </c>
      <c r="B20" s="20">
        <f>-'[1]Exercicio 3 - Balanço Sucessivo'!H16</f>
        <v>-180000</v>
      </c>
    </row>
    <row r="21" spans="1:4">
      <c r="A21" s="7" t="s">
        <v>11</v>
      </c>
      <c r="B21" s="20">
        <v>24000</v>
      </c>
    </row>
    <row r="22" spans="1:4">
      <c r="A22" s="7" t="s">
        <v>12</v>
      </c>
      <c r="B22" s="20">
        <v>2000</v>
      </c>
    </row>
    <row r="23" spans="1:4">
      <c r="A23" s="9" t="s">
        <v>28</v>
      </c>
      <c r="B23" s="137">
        <f>SUM(B18:B22)</f>
        <v>-404000</v>
      </c>
    </row>
    <row r="24" spans="1:4">
      <c r="A24" s="7"/>
      <c r="B24" s="6"/>
    </row>
    <row r="25" spans="1:4">
      <c r="A25" s="11" t="s">
        <v>14</v>
      </c>
      <c r="B25" s="20"/>
    </row>
    <row r="26" spans="1:4">
      <c r="A26" s="1" t="s">
        <v>15</v>
      </c>
      <c r="B26" s="20">
        <f>-'[1]Exercicio 3 - Balanço Sucessivo'!S25</f>
        <v>-175560</v>
      </c>
    </row>
    <row r="27" spans="1:4">
      <c r="A27" s="7"/>
      <c r="B27" s="139"/>
    </row>
    <row r="28" spans="1:4">
      <c r="A28" s="9" t="s">
        <v>16</v>
      </c>
      <c r="B28" s="137">
        <f>SUM(B26:B27)</f>
        <v>-175560</v>
      </c>
      <c r="C28" s="22"/>
      <c r="D28" s="22"/>
    </row>
    <row r="29" spans="1:4">
      <c r="A29" s="7"/>
      <c r="B29" s="138"/>
    </row>
    <row r="30" spans="1:4">
      <c r="A30" s="9" t="s">
        <v>17</v>
      </c>
      <c r="B30" s="137">
        <f>B33-B32</f>
        <v>-409560</v>
      </c>
    </row>
    <row r="31" spans="1:4">
      <c r="A31" s="7"/>
      <c r="B31" s="20"/>
    </row>
    <row r="32" spans="1:4">
      <c r="A32" s="9" t="s">
        <v>18</v>
      </c>
      <c r="B32" s="137">
        <f>'DFC - Método Direto_1'!B27</f>
        <v>1600000</v>
      </c>
    </row>
    <row r="33" spans="1:2">
      <c r="A33" s="15" t="s">
        <v>19</v>
      </c>
      <c r="B33" s="139">
        <f>'DFC - Método Direto_1'!B28</f>
        <v>1190440</v>
      </c>
    </row>
  </sheetData>
  <mergeCells count="2">
    <mergeCell ref="A2:B2"/>
    <mergeCell ref="A3:B3"/>
  </mergeCells>
  <phoneticPr fontId="19" type="noConversion"/>
  <pageMargins left="0.39370078740157483" right="0.39370078740157483" top="0.59055118110236227" bottom="0.59055118110236227" header="0.51181102362204722" footer="0.51181102362204722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49"/>
  <sheetViews>
    <sheetView topLeftCell="A22" zoomScale="70" workbookViewId="0">
      <pane xSplit="6" topLeftCell="G1" activePane="topRight" state="frozen"/>
      <selection activeCell="A25" sqref="A25"/>
      <selection pane="topRight" activeCell="A26" sqref="A26:B26"/>
    </sheetView>
  </sheetViews>
  <sheetFormatPr defaultRowHeight="12.75"/>
  <cols>
    <col min="1" max="1" width="48" style="23" bestFit="1" customWidth="1"/>
    <col min="2" max="2" width="31.140625" style="23" customWidth="1"/>
    <col min="3" max="3" width="43.7109375" style="23" bestFit="1" customWidth="1"/>
    <col min="4" max="4" width="16.7109375" style="23" bestFit="1" customWidth="1"/>
    <col min="5" max="5" width="3.5703125" style="23" customWidth="1"/>
    <col min="6" max="6" width="40.7109375" style="24" customWidth="1"/>
    <col min="7" max="7" width="22.7109375" style="26" bestFit="1" customWidth="1"/>
    <col min="8" max="11" width="22.7109375" style="23" bestFit="1" customWidth="1"/>
    <col min="12" max="14" width="22.28515625" style="23" bestFit="1" customWidth="1"/>
    <col min="15" max="15" width="22.28515625" style="23" customWidth="1"/>
    <col min="16" max="16" width="22.28515625" style="23" bestFit="1" customWidth="1"/>
    <col min="17" max="32" width="22.28515625" style="23" customWidth="1"/>
    <col min="33" max="33" width="9.85546875" style="23" customWidth="1"/>
    <col min="34" max="34" width="49.42578125" style="23" bestFit="1" customWidth="1"/>
    <col min="35" max="35" width="18.5703125" style="23" bestFit="1" customWidth="1"/>
    <col min="36" max="36" width="18.5703125" style="23" customWidth="1"/>
    <col min="37" max="37" width="17.85546875" style="23" bestFit="1" customWidth="1"/>
    <col min="38" max="38" width="32.5703125" style="23" bestFit="1" customWidth="1"/>
    <col min="39" max="39" width="28.85546875" style="23" bestFit="1" customWidth="1"/>
    <col min="40" max="40" width="32" style="23" bestFit="1" customWidth="1"/>
    <col min="41" max="41" width="18.5703125" style="23" bestFit="1" customWidth="1"/>
    <col min="42" max="42" width="16.28515625" style="23" bestFit="1" customWidth="1"/>
    <col min="43" max="43" width="16.85546875" style="23" bestFit="1" customWidth="1"/>
    <col min="44" max="44" width="14.85546875" style="23" bestFit="1" customWidth="1"/>
    <col min="45" max="45" width="16.140625" style="23" customWidth="1"/>
    <col min="46" max="46" width="14.5703125" style="23" bestFit="1" customWidth="1"/>
    <col min="47" max="16384" width="9.140625" style="23"/>
  </cols>
  <sheetData>
    <row r="1" spans="1:46" ht="13.5" thickBot="1">
      <c r="A1" s="170" t="s">
        <v>102</v>
      </c>
      <c r="B1" s="171"/>
      <c r="C1" s="171"/>
      <c r="D1" s="172"/>
      <c r="G1" s="25"/>
    </row>
    <row r="2" spans="1:46" ht="13.5" thickBot="1">
      <c r="J2" s="27"/>
    </row>
    <row r="3" spans="1:46" ht="15">
      <c r="A3" s="173" t="s">
        <v>30</v>
      </c>
      <c r="B3" s="174"/>
      <c r="C3" s="174"/>
      <c r="D3" s="175"/>
      <c r="E3" s="28"/>
      <c r="F3" s="29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</row>
    <row r="4" spans="1:46" ht="37.5" customHeight="1" thickBot="1">
      <c r="A4" s="176" t="s">
        <v>31</v>
      </c>
      <c r="B4" s="177"/>
      <c r="C4" s="177"/>
      <c r="D4" s="178"/>
      <c r="E4" s="28"/>
      <c r="F4" s="179"/>
      <c r="G4" s="179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</row>
    <row r="5" spans="1:46" ht="18.75" customHeight="1" thickBot="1">
      <c r="F5" s="158" t="s">
        <v>32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60"/>
      <c r="AG5" s="31"/>
      <c r="AH5" s="161" t="s">
        <v>33</v>
      </c>
      <c r="AI5" s="162"/>
      <c r="AJ5" s="162"/>
      <c r="AK5" s="162"/>
      <c r="AL5" s="163"/>
      <c r="AM5" s="32"/>
      <c r="AN5" s="32"/>
      <c r="AO5" s="32"/>
      <c r="AP5" s="32"/>
      <c r="AQ5" s="32"/>
      <c r="AR5" s="33"/>
      <c r="AS5" s="33"/>
      <c r="AT5" s="33"/>
    </row>
    <row r="6" spans="1:46" ht="24" customHeight="1" thickBot="1">
      <c r="A6" s="164" t="s">
        <v>34</v>
      </c>
      <c r="B6" s="165"/>
      <c r="C6" s="165"/>
      <c r="D6" s="166"/>
      <c r="F6" s="34" t="s">
        <v>35</v>
      </c>
      <c r="G6" s="35">
        <v>40179</v>
      </c>
      <c r="H6" s="35" t="s">
        <v>36</v>
      </c>
      <c r="I6" s="35" t="s">
        <v>103</v>
      </c>
      <c r="J6" s="35" t="s">
        <v>104</v>
      </c>
      <c r="K6" s="36">
        <v>40214</v>
      </c>
      <c r="L6" s="36">
        <v>40229</v>
      </c>
      <c r="M6" s="36">
        <v>40230</v>
      </c>
      <c r="N6" s="36">
        <v>40242</v>
      </c>
      <c r="O6" s="36">
        <v>40252</v>
      </c>
      <c r="P6" s="36">
        <v>40267</v>
      </c>
      <c r="Q6" s="36">
        <v>40283</v>
      </c>
      <c r="R6" s="36">
        <v>40318</v>
      </c>
      <c r="S6" s="36">
        <v>40360</v>
      </c>
      <c r="T6" s="127" t="s">
        <v>105</v>
      </c>
      <c r="U6" s="127" t="s">
        <v>106</v>
      </c>
      <c r="V6" s="37">
        <v>40398</v>
      </c>
      <c r="W6" s="37">
        <v>40436</v>
      </c>
      <c r="X6" s="37">
        <v>40543</v>
      </c>
      <c r="Y6" s="37" t="s">
        <v>37</v>
      </c>
      <c r="Z6" s="37" t="s">
        <v>38</v>
      </c>
      <c r="AA6" s="37" t="s">
        <v>39</v>
      </c>
      <c r="AB6" s="37" t="s">
        <v>40</v>
      </c>
      <c r="AC6" s="37" t="s">
        <v>41</v>
      </c>
      <c r="AD6" s="37" t="s">
        <v>42</v>
      </c>
      <c r="AE6" s="37" t="s">
        <v>107</v>
      </c>
      <c r="AF6" s="128" t="s">
        <v>108</v>
      </c>
      <c r="AH6" s="38" t="s">
        <v>43</v>
      </c>
      <c r="AI6" s="39" t="s">
        <v>44</v>
      </c>
      <c r="AJ6" s="40" t="s">
        <v>45</v>
      </c>
      <c r="AK6" s="40" t="s">
        <v>46</v>
      </c>
      <c r="AL6" s="40" t="s">
        <v>47</v>
      </c>
    </row>
    <row r="7" spans="1:46" ht="18.75">
      <c r="A7" s="41"/>
      <c r="B7" s="41"/>
      <c r="C7" s="41"/>
      <c r="D7" s="41"/>
      <c r="F7" s="42" t="s">
        <v>48</v>
      </c>
      <c r="G7" s="43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5"/>
      <c r="AH7" s="46" t="s">
        <v>49</v>
      </c>
      <c r="AI7" s="47">
        <f>G29</f>
        <v>1000000</v>
      </c>
      <c r="AJ7" s="48"/>
      <c r="AK7" s="48">
        <v>0</v>
      </c>
      <c r="AL7" s="48">
        <f>SUM(AI7:AK7)</f>
        <v>1000000</v>
      </c>
    </row>
    <row r="8" spans="1:46" ht="15.75">
      <c r="A8" s="49" t="s">
        <v>50</v>
      </c>
      <c r="B8" s="50">
        <v>200000</v>
      </c>
      <c r="C8" s="51"/>
      <c r="D8" s="52"/>
      <c r="F8" s="53" t="str">
        <f>A8</f>
        <v>Caixa</v>
      </c>
      <c r="G8" s="54">
        <f>B8</f>
        <v>200000</v>
      </c>
      <c r="H8" s="55">
        <f t="shared" ref="H8:N8" si="0">G8</f>
        <v>200000</v>
      </c>
      <c r="I8" s="55">
        <f t="shared" si="0"/>
        <v>200000</v>
      </c>
      <c r="J8" s="55">
        <f t="shared" si="0"/>
        <v>200000</v>
      </c>
      <c r="K8" s="55">
        <f t="shared" si="0"/>
        <v>200000</v>
      </c>
      <c r="L8" s="55">
        <f t="shared" si="0"/>
        <v>200000</v>
      </c>
      <c r="M8" s="55">
        <f t="shared" si="0"/>
        <v>200000</v>
      </c>
      <c r="N8" s="55">
        <f t="shared" si="0"/>
        <v>200000</v>
      </c>
      <c r="O8" s="61">
        <f>N8-20000</f>
        <v>180000</v>
      </c>
      <c r="P8" s="61">
        <f>O8-5000</f>
        <v>175000</v>
      </c>
      <c r="Q8" s="129">
        <f t="shared" ref="Q8:AF8" si="1">P8</f>
        <v>175000</v>
      </c>
      <c r="R8" s="129">
        <f t="shared" si="1"/>
        <v>175000</v>
      </c>
      <c r="S8" s="129">
        <f t="shared" si="1"/>
        <v>175000</v>
      </c>
      <c r="T8" s="129">
        <f t="shared" si="1"/>
        <v>175000</v>
      </c>
      <c r="U8" s="129">
        <f t="shared" si="1"/>
        <v>175000</v>
      </c>
      <c r="V8" s="129">
        <f t="shared" si="1"/>
        <v>175000</v>
      </c>
      <c r="W8" s="129">
        <f t="shared" si="1"/>
        <v>175000</v>
      </c>
      <c r="X8" s="129">
        <f t="shared" si="1"/>
        <v>175000</v>
      </c>
      <c r="Y8" s="129">
        <f t="shared" si="1"/>
        <v>175000</v>
      </c>
      <c r="Z8" s="129">
        <f t="shared" si="1"/>
        <v>175000</v>
      </c>
      <c r="AA8" s="129">
        <f t="shared" si="1"/>
        <v>175000</v>
      </c>
      <c r="AB8" s="129">
        <f t="shared" si="1"/>
        <v>175000</v>
      </c>
      <c r="AC8" s="129">
        <f t="shared" si="1"/>
        <v>175000</v>
      </c>
      <c r="AD8" s="129">
        <f t="shared" si="1"/>
        <v>175000</v>
      </c>
      <c r="AE8" s="129">
        <f t="shared" si="1"/>
        <v>175000</v>
      </c>
      <c r="AF8" s="56">
        <f t="shared" si="1"/>
        <v>175000</v>
      </c>
      <c r="AG8" s="57"/>
      <c r="AH8" s="58" t="s">
        <v>51</v>
      </c>
      <c r="AI8" s="59"/>
      <c r="AJ8" s="60"/>
      <c r="AK8" s="60">
        <f>AD45</f>
        <v>586100</v>
      </c>
      <c r="AL8" s="60">
        <f>AK8</f>
        <v>586100</v>
      </c>
    </row>
    <row r="9" spans="1:46" ht="15.75">
      <c r="A9" s="49" t="s">
        <v>52</v>
      </c>
      <c r="B9" s="50">
        <v>1300000</v>
      </c>
      <c r="C9" s="51"/>
      <c r="D9" s="52"/>
      <c r="F9" s="53" t="s">
        <v>52</v>
      </c>
      <c r="G9" s="54">
        <f>B9</f>
        <v>1300000</v>
      </c>
      <c r="H9" s="61">
        <f>G9-50000</f>
        <v>1250000</v>
      </c>
      <c r="I9" s="61">
        <f>H9-I19</f>
        <v>1130000</v>
      </c>
      <c r="J9" s="61">
        <f>I9-40000</f>
        <v>1090000</v>
      </c>
      <c r="K9" s="55">
        <f>J9</f>
        <v>1090000</v>
      </c>
      <c r="L9" s="63">
        <f>K9+100000</f>
        <v>1190000</v>
      </c>
      <c r="M9" s="55">
        <f>L9</f>
        <v>1190000</v>
      </c>
      <c r="N9" s="63">
        <f>M9-(500000*0.9)</f>
        <v>740000</v>
      </c>
      <c r="O9" s="62">
        <f>N9</f>
        <v>740000</v>
      </c>
      <c r="P9" s="62">
        <f>O9</f>
        <v>740000</v>
      </c>
      <c r="Q9" s="63">
        <f>P9-P25</f>
        <v>695000</v>
      </c>
      <c r="R9" s="129">
        <f t="shared" ref="R9:U10" si="2">Q9</f>
        <v>695000</v>
      </c>
      <c r="S9" s="129">
        <f t="shared" si="2"/>
        <v>695000</v>
      </c>
      <c r="T9" s="129">
        <f t="shared" si="2"/>
        <v>695000</v>
      </c>
      <c r="U9" s="129">
        <f t="shared" si="2"/>
        <v>695000</v>
      </c>
      <c r="V9" s="63">
        <f>U9+450000</f>
        <v>1145000</v>
      </c>
      <c r="W9" s="130">
        <f>V9</f>
        <v>1145000</v>
      </c>
      <c r="X9" s="130">
        <f>W9</f>
        <v>1145000</v>
      </c>
      <c r="Y9" s="129">
        <f>X9</f>
        <v>1145000</v>
      </c>
      <c r="Z9" s="61">
        <f>Y9+3000</f>
        <v>1148000</v>
      </c>
      <c r="AA9" s="63">
        <f>Z9+(80000*0.9)</f>
        <v>1220000</v>
      </c>
      <c r="AB9" s="129">
        <f t="shared" ref="AB9:AE10" si="3">AA9</f>
        <v>1220000</v>
      </c>
      <c r="AC9" s="129">
        <f t="shared" si="3"/>
        <v>1220000</v>
      </c>
      <c r="AD9" s="129">
        <f t="shared" si="3"/>
        <v>1220000</v>
      </c>
      <c r="AE9" s="129">
        <f t="shared" si="3"/>
        <v>1220000</v>
      </c>
      <c r="AF9" s="64">
        <f>AE9-AE31</f>
        <v>663205</v>
      </c>
      <c r="AH9" s="65" t="s">
        <v>53</v>
      </c>
      <c r="AI9" s="59"/>
      <c r="AJ9" s="60"/>
      <c r="AK9" s="60"/>
      <c r="AL9" s="60">
        <f>SUM(AI9:AK9)</f>
        <v>0</v>
      </c>
    </row>
    <row r="10" spans="1:46" ht="15.75">
      <c r="A10" s="49" t="s">
        <v>54</v>
      </c>
      <c r="B10" s="55" t="s">
        <v>55</v>
      </c>
      <c r="C10" s="51"/>
      <c r="D10" s="52"/>
      <c r="F10" s="53" t="s">
        <v>56</v>
      </c>
      <c r="G10" s="54"/>
      <c r="H10" s="55"/>
      <c r="I10" s="55"/>
      <c r="J10" s="62"/>
      <c r="K10" s="63">
        <v>45000</v>
      </c>
      <c r="L10" s="62">
        <f>K10</f>
        <v>45000</v>
      </c>
      <c r="M10" s="61">
        <f>L10-15000</f>
        <v>30000</v>
      </c>
      <c r="N10" s="62">
        <f>M10</f>
        <v>30000</v>
      </c>
      <c r="O10" s="62">
        <f>N10</f>
        <v>30000</v>
      </c>
      <c r="P10" s="62">
        <f>O10</f>
        <v>30000</v>
      </c>
      <c r="Q10" s="62">
        <f>P10</f>
        <v>30000</v>
      </c>
      <c r="R10" s="129">
        <f t="shared" si="2"/>
        <v>30000</v>
      </c>
      <c r="S10" s="129">
        <f t="shared" si="2"/>
        <v>30000</v>
      </c>
      <c r="T10" s="129">
        <f t="shared" si="2"/>
        <v>30000</v>
      </c>
      <c r="U10" s="129">
        <f t="shared" si="2"/>
        <v>30000</v>
      </c>
      <c r="V10" s="62">
        <f>U10</f>
        <v>30000</v>
      </c>
      <c r="W10" s="63">
        <f>V10+30000</f>
        <v>60000</v>
      </c>
      <c r="X10" s="130">
        <f>W10</f>
        <v>60000</v>
      </c>
      <c r="Y10" s="129">
        <f>X10</f>
        <v>60000</v>
      </c>
      <c r="Z10" s="129">
        <f>Y10</f>
        <v>60000</v>
      </c>
      <c r="AA10" s="129">
        <f>Z10</f>
        <v>60000</v>
      </c>
      <c r="AB10" s="129">
        <f t="shared" si="3"/>
        <v>60000</v>
      </c>
      <c r="AC10" s="129">
        <f t="shared" si="3"/>
        <v>60000</v>
      </c>
      <c r="AD10" s="129">
        <f t="shared" si="3"/>
        <v>60000</v>
      </c>
      <c r="AE10" s="129">
        <f t="shared" si="3"/>
        <v>60000</v>
      </c>
      <c r="AF10" s="56">
        <f>AE10</f>
        <v>60000</v>
      </c>
      <c r="AH10" s="66" t="s">
        <v>45</v>
      </c>
      <c r="AI10" s="59"/>
      <c r="AJ10" s="60">
        <f>AE30</f>
        <v>29305</v>
      </c>
      <c r="AK10" s="60">
        <f>-AJ10</f>
        <v>-29305</v>
      </c>
      <c r="AL10" s="60"/>
    </row>
    <row r="11" spans="1:46" ht="19.5" thickBot="1">
      <c r="A11" s="49" t="s">
        <v>57</v>
      </c>
      <c r="B11" s="55">
        <v>500000</v>
      </c>
      <c r="C11" s="51"/>
      <c r="D11" s="52"/>
      <c r="F11" s="42" t="s">
        <v>58</v>
      </c>
      <c r="G11" s="67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9"/>
      <c r="AH11" s="66" t="s">
        <v>59</v>
      </c>
      <c r="AI11" s="59"/>
      <c r="AJ11" s="60"/>
      <c r="AK11" s="60">
        <f>-AE31</f>
        <v>-556795</v>
      </c>
      <c r="AL11" s="60">
        <f>SUM(AI11:AK11)</f>
        <v>-556795</v>
      </c>
    </row>
    <row r="12" spans="1:46" ht="17.25" customHeight="1" thickBot="1">
      <c r="A12" s="70"/>
      <c r="B12" s="52"/>
      <c r="C12" s="71"/>
      <c r="D12" s="52"/>
      <c r="F12" s="72" t="s">
        <v>60</v>
      </c>
      <c r="G12" s="67"/>
      <c r="H12" s="73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H12" s="74" t="s">
        <v>61</v>
      </c>
      <c r="AI12" s="75">
        <f>SUM(AI7:AI11)</f>
        <v>1000000</v>
      </c>
      <c r="AJ12" s="75">
        <f>SUM(AJ7:AJ11)</f>
        <v>29305</v>
      </c>
      <c r="AK12" s="76">
        <f>SUM(AK7:AK11)</f>
        <v>0</v>
      </c>
      <c r="AL12" s="77">
        <f>SUM(AI12:AK12)</f>
        <v>1029305</v>
      </c>
    </row>
    <row r="13" spans="1:46" ht="16.5" thickBot="1">
      <c r="A13" s="167" t="s">
        <v>62</v>
      </c>
      <c r="B13" s="168"/>
      <c r="C13" s="168"/>
      <c r="D13" s="169"/>
      <c r="F13" s="78" t="s">
        <v>109</v>
      </c>
      <c r="G13" s="79"/>
      <c r="H13" s="80"/>
      <c r="I13" s="62"/>
      <c r="J13" s="62"/>
      <c r="K13" s="62"/>
      <c r="L13" s="62"/>
      <c r="M13" s="62"/>
      <c r="N13" s="63">
        <f>(500000*0.9)</f>
        <v>450000</v>
      </c>
      <c r="O13" s="62">
        <f t="shared" ref="O13:W13" si="4">N13</f>
        <v>450000</v>
      </c>
      <c r="P13" s="62">
        <f t="shared" si="4"/>
        <v>450000</v>
      </c>
      <c r="Q13" s="62">
        <f t="shared" si="4"/>
        <v>450000</v>
      </c>
      <c r="R13" s="129">
        <f t="shared" si="4"/>
        <v>450000</v>
      </c>
      <c r="S13" s="129">
        <f t="shared" si="4"/>
        <v>450000</v>
      </c>
      <c r="T13" s="129">
        <f t="shared" si="4"/>
        <v>450000</v>
      </c>
      <c r="U13" s="62">
        <f t="shared" si="4"/>
        <v>450000</v>
      </c>
      <c r="V13" s="62">
        <f t="shared" si="4"/>
        <v>450000</v>
      </c>
      <c r="W13" s="62">
        <f t="shared" si="4"/>
        <v>450000</v>
      </c>
      <c r="X13" s="63">
        <f>W13+90000</f>
        <v>540000</v>
      </c>
      <c r="Y13" s="129">
        <f t="shared" ref="Y13:Z15" si="5">X13</f>
        <v>540000</v>
      </c>
      <c r="Z13" s="129">
        <f t="shared" si="5"/>
        <v>540000</v>
      </c>
      <c r="AA13" s="61">
        <f>Z13-(80000*0.9)</f>
        <v>468000</v>
      </c>
      <c r="AB13" s="129">
        <f t="shared" ref="AB13:AF15" si="6">AA13</f>
        <v>468000</v>
      </c>
      <c r="AC13" s="129">
        <f t="shared" si="6"/>
        <v>468000</v>
      </c>
      <c r="AD13" s="129">
        <f t="shared" si="6"/>
        <v>468000</v>
      </c>
      <c r="AE13" s="129">
        <f t="shared" si="6"/>
        <v>468000</v>
      </c>
      <c r="AF13" s="56">
        <f t="shared" si="6"/>
        <v>468000</v>
      </c>
    </row>
    <row r="14" spans="1:46" ht="16.5" thickBot="1">
      <c r="A14" s="156" t="s">
        <v>64</v>
      </c>
      <c r="B14" s="157"/>
      <c r="C14" s="156" t="s">
        <v>65</v>
      </c>
      <c r="D14" s="157"/>
      <c r="F14" s="78" t="s">
        <v>110</v>
      </c>
      <c r="G14" s="79"/>
      <c r="H14" s="73"/>
      <c r="I14" s="68"/>
      <c r="J14" s="68"/>
      <c r="K14" s="68"/>
      <c r="L14" s="68"/>
      <c r="M14" s="68"/>
      <c r="N14" s="68"/>
      <c r="O14" s="61">
        <v>20000</v>
      </c>
      <c r="P14" s="62">
        <f t="shared" ref="P14:X14" si="7">O14</f>
        <v>20000</v>
      </c>
      <c r="Q14" s="62">
        <f t="shared" si="7"/>
        <v>20000</v>
      </c>
      <c r="R14" s="129">
        <f t="shared" si="7"/>
        <v>20000</v>
      </c>
      <c r="S14" s="129">
        <f t="shared" si="7"/>
        <v>20000</v>
      </c>
      <c r="T14" s="129">
        <f t="shared" si="7"/>
        <v>20000</v>
      </c>
      <c r="U14" s="62">
        <f t="shared" si="7"/>
        <v>20000</v>
      </c>
      <c r="V14" s="62">
        <f t="shared" si="7"/>
        <v>20000</v>
      </c>
      <c r="W14" s="62">
        <f t="shared" si="7"/>
        <v>20000</v>
      </c>
      <c r="X14" s="130">
        <f t="shared" si="7"/>
        <v>20000</v>
      </c>
      <c r="Y14" s="129">
        <f t="shared" si="5"/>
        <v>20000</v>
      </c>
      <c r="Z14" s="129">
        <f t="shared" si="5"/>
        <v>20000</v>
      </c>
      <c r="AA14" s="129">
        <f>Z14</f>
        <v>20000</v>
      </c>
      <c r="AB14" s="129">
        <f t="shared" si="6"/>
        <v>20000</v>
      </c>
      <c r="AC14" s="129">
        <f t="shared" si="6"/>
        <v>20000</v>
      </c>
      <c r="AD14" s="129">
        <f t="shared" si="6"/>
        <v>20000</v>
      </c>
      <c r="AE14" s="129">
        <f t="shared" si="6"/>
        <v>20000</v>
      </c>
      <c r="AF14" s="56">
        <f t="shared" si="6"/>
        <v>20000</v>
      </c>
    </row>
    <row r="15" spans="1:46" ht="39" customHeight="1">
      <c r="A15" s="184">
        <v>40179</v>
      </c>
      <c r="B15" s="185"/>
      <c r="C15" s="186" t="s">
        <v>111</v>
      </c>
      <c r="D15" s="187"/>
      <c r="F15" s="78" t="s">
        <v>112</v>
      </c>
      <c r="G15" s="79"/>
      <c r="H15" s="73"/>
      <c r="I15" s="91"/>
      <c r="J15" s="91"/>
      <c r="K15" s="91"/>
      <c r="L15" s="91"/>
      <c r="M15" s="91"/>
      <c r="N15" s="91"/>
      <c r="O15" s="130"/>
      <c r="P15" s="63">
        <v>5000</v>
      </c>
      <c r="Q15" s="62">
        <f t="shared" ref="Q15:X15" si="8">P15</f>
        <v>5000</v>
      </c>
      <c r="R15" s="129">
        <f t="shared" si="8"/>
        <v>5000</v>
      </c>
      <c r="S15" s="129">
        <f t="shared" si="8"/>
        <v>5000</v>
      </c>
      <c r="T15" s="129">
        <f t="shared" si="8"/>
        <v>5000</v>
      </c>
      <c r="U15" s="62">
        <f t="shared" si="8"/>
        <v>5000</v>
      </c>
      <c r="V15" s="62">
        <f t="shared" si="8"/>
        <v>5000</v>
      </c>
      <c r="W15" s="62">
        <f t="shared" si="8"/>
        <v>5000</v>
      </c>
      <c r="X15" s="130">
        <f t="shared" si="8"/>
        <v>5000</v>
      </c>
      <c r="Y15" s="129">
        <f t="shared" si="5"/>
        <v>5000</v>
      </c>
      <c r="Z15" s="129">
        <f t="shared" si="5"/>
        <v>5000</v>
      </c>
      <c r="AA15" s="129">
        <f>Z15</f>
        <v>5000</v>
      </c>
      <c r="AB15" s="129">
        <f t="shared" si="6"/>
        <v>5000</v>
      </c>
      <c r="AC15" s="129">
        <f t="shared" si="6"/>
        <v>5000</v>
      </c>
      <c r="AD15" s="129">
        <f t="shared" si="6"/>
        <v>5000</v>
      </c>
      <c r="AE15" s="129">
        <f t="shared" si="6"/>
        <v>5000</v>
      </c>
      <c r="AF15" s="56">
        <f t="shared" si="6"/>
        <v>5000</v>
      </c>
    </row>
    <row r="16" spans="1:46" ht="41.25" customHeight="1">
      <c r="A16" s="152"/>
      <c r="B16" s="153"/>
      <c r="C16" s="188"/>
      <c r="D16" s="189"/>
      <c r="F16" s="53" t="s">
        <v>68</v>
      </c>
      <c r="G16" s="54"/>
      <c r="H16" s="80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129"/>
      <c r="AA16" s="62"/>
      <c r="AB16" s="62"/>
      <c r="AC16" s="62"/>
      <c r="AD16" s="62"/>
      <c r="AE16" s="62"/>
      <c r="AF16" s="81"/>
    </row>
    <row r="17" spans="1:33" ht="55.5" customHeight="1">
      <c r="A17" s="140" t="s">
        <v>103</v>
      </c>
      <c r="B17" s="141"/>
      <c r="C17" s="142" t="s">
        <v>113</v>
      </c>
      <c r="D17" s="143"/>
      <c r="F17" s="78" t="s">
        <v>114</v>
      </c>
      <c r="G17" s="54"/>
      <c r="H17" s="80"/>
      <c r="I17" s="62"/>
      <c r="J17" s="63">
        <v>40000</v>
      </c>
      <c r="K17" s="62">
        <f t="shared" ref="K17:AF17" si="9">J17</f>
        <v>40000</v>
      </c>
      <c r="L17" s="62">
        <f t="shared" si="9"/>
        <v>40000</v>
      </c>
      <c r="M17" s="62">
        <f t="shared" si="9"/>
        <v>40000</v>
      </c>
      <c r="N17" s="62">
        <f t="shared" si="9"/>
        <v>40000</v>
      </c>
      <c r="O17" s="62">
        <f t="shared" si="9"/>
        <v>40000</v>
      </c>
      <c r="P17" s="62">
        <f t="shared" si="9"/>
        <v>40000</v>
      </c>
      <c r="Q17" s="62">
        <f t="shared" si="9"/>
        <v>40000</v>
      </c>
      <c r="R17" s="129">
        <f t="shared" si="9"/>
        <v>40000</v>
      </c>
      <c r="S17" s="129">
        <f t="shared" si="9"/>
        <v>40000</v>
      </c>
      <c r="T17" s="129">
        <f t="shared" si="9"/>
        <v>40000</v>
      </c>
      <c r="U17" s="62">
        <f t="shared" si="9"/>
        <v>40000</v>
      </c>
      <c r="V17" s="62">
        <f t="shared" si="9"/>
        <v>40000</v>
      </c>
      <c r="W17" s="62">
        <f t="shared" si="9"/>
        <v>40000</v>
      </c>
      <c r="X17" s="130">
        <f t="shared" si="9"/>
        <v>40000</v>
      </c>
      <c r="Y17" s="129">
        <f t="shared" si="9"/>
        <v>40000</v>
      </c>
      <c r="Z17" s="129">
        <f t="shared" si="9"/>
        <v>40000</v>
      </c>
      <c r="AA17" s="129">
        <f t="shared" si="9"/>
        <v>40000</v>
      </c>
      <c r="AB17" s="129">
        <f t="shared" si="9"/>
        <v>40000</v>
      </c>
      <c r="AC17" s="129">
        <f t="shared" si="9"/>
        <v>40000</v>
      </c>
      <c r="AD17" s="129">
        <f t="shared" si="9"/>
        <v>40000</v>
      </c>
      <c r="AE17" s="129">
        <f t="shared" si="9"/>
        <v>40000</v>
      </c>
      <c r="AF17" s="56">
        <f t="shared" si="9"/>
        <v>40000</v>
      </c>
    </row>
    <row r="18" spans="1:33" ht="42.75" customHeight="1">
      <c r="A18" s="140" t="s">
        <v>104</v>
      </c>
      <c r="B18" s="141"/>
      <c r="C18" s="142" t="s">
        <v>115</v>
      </c>
      <c r="D18" s="143"/>
      <c r="F18" s="78" t="s">
        <v>116</v>
      </c>
      <c r="G18" s="54"/>
      <c r="H18" s="82">
        <v>50000</v>
      </c>
      <c r="I18" s="62">
        <f>H18</f>
        <v>50000</v>
      </c>
      <c r="J18" s="62">
        <f>I18</f>
        <v>50000</v>
      </c>
      <c r="K18" s="62">
        <f t="shared" ref="K18:AF18" si="10">J18</f>
        <v>50000</v>
      </c>
      <c r="L18" s="62">
        <f t="shared" si="10"/>
        <v>50000</v>
      </c>
      <c r="M18" s="62">
        <f t="shared" si="10"/>
        <v>50000</v>
      </c>
      <c r="N18" s="62">
        <f t="shared" si="10"/>
        <v>50000</v>
      </c>
      <c r="O18" s="62">
        <f t="shared" si="10"/>
        <v>50000</v>
      </c>
      <c r="P18" s="62">
        <f t="shared" si="10"/>
        <v>50000</v>
      </c>
      <c r="Q18" s="62">
        <f t="shared" si="10"/>
        <v>50000</v>
      </c>
      <c r="R18" s="129">
        <f t="shared" si="10"/>
        <v>50000</v>
      </c>
      <c r="S18" s="129">
        <f t="shared" si="10"/>
        <v>50000</v>
      </c>
      <c r="T18" s="129">
        <f t="shared" si="10"/>
        <v>50000</v>
      </c>
      <c r="U18" s="62">
        <f t="shared" si="10"/>
        <v>50000</v>
      </c>
      <c r="V18" s="62">
        <f t="shared" si="10"/>
        <v>50000</v>
      </c>
      <c r="W18" s="62">
        <f t="shared" si="10"/>
        <v>50000</v>
      </c>
      <c r="X18" s="130">
        <f t="shared" si="10"/>
        <v>50000</v>
      </c>
      <c r="Y18" s="129">
        <f t="shared" si="10"/>
        <v>50000</v>
      </c>
      <c r="Z18" s="129">
        <f t="shared" si="10"/>
        <v>50000</v>
      </c>
      <c r="AA18" s="129">
        <f t="shared" si="10"/>
        <v>50000</v>
      </c>
      <c r="AB18" s="129">
        <f t="shared" si="10"/>
        <v>50000</v>
      </c>
      <c r="AC18" s="129">
        <f t="shared" si="10"/>
        <v>50000</v>
      </c>
      <c r="AD18" s="129">
        <f t="shared" si="10"/>
        <v>50000</v>
      </c>
      <c r="AE18" s="129">
        <f t="shared" si="10"/>
        <v>50000</v>
      </c>
      <c r="AF18" s="56">
        <f t="shared" si="10"/>
        <v>50000</v>
      </c>
    </row>
    <row r="19" spans="1:33" ht="35.25" customHeight="1">
      <c r="A19" s="152">
        <v>40214</v>
      </c>
      <c r="B19" s="153"/>
      <c r="C19" s="154" t="s">
        <v>117</v>
      </c>
      <c r="D19" s="155"/>
      <c r="F19" s="78" t="s">
        <v>70</v>
      </c>
      <c r="G19" s="54"/>
      <c r="H19" s="80"/>
      <c r="I19" s="63">
        <v>120000</v>
      </c>
      <c r="J19" s="62">
        <f>I19</f>
        <v>120000</v>
      </c>
      <c r="K19" s="62">
        <f t="shared" ref="K19:AF19" si="11">J19</f>
        <v>120000</v>
      </c>
      <c r="L19" s="62">
        <f t="shared" si="11"/>
        <v>120000</v>
      </c>
      <c r="M19" s="62">
        <f t="shared" si="11"/>
        <v>120000</v>
      </c>
      <c r="N19" s="62">
        <f t="shared" si="11"/>
        <v>120000</v>
      </c>
      <c r="O19" s="62">
        <f t="shared" si="11"/>
        <v>120000</v>
      </c>
      <c r="P19" s="62">
        <f t="shared" si="11"/>
        <v>120000</v>
      </c>
      <c r="Q19" s="62">
        <f t="shared" si="11"/>
        <v>120000</v>
      </c>
      <c r="R19" s="129">
        <f t="shared" si="11"/>
        <v>120000</v>
      </c>
      <c r="S19" s="129">
        <f t="shared" si="11"/>
        <v>120000</v>
      </c>
      <c r="T19" s="129">
        <f t="shared" si="11"/>
        <v>120000</v>
      </c>
      <c r="U19" s="62">
        <f t="shared" si="11"/>
        <v>120000</v>
      </c>
      <c r="V19" s="62">
        <f t="shared" si="11"/>
        <v>120000</v>
      </c>
      <c r="W19" s="62">
        <f t="shared" si="11"/>
        <v>120000</v>
      </c>
      <c r="X19" s="130">
        <f t="shared" si="11"/>
        <v>120000</v>
      </c>
      <c r="Y19" s="129">
        <f t="shared" si="11"/>
        <v>120000</v>
      </c>
      <c r="Z19" s="129">
        <f t="shared" si="11"/>
        <v>120000</v>
      </c>
      <c r="AA19" s="129">
        <f t="shared" si="11"/>
        <v>120000</v>
      </c>
      <c r="AB19" s="129">
        <f t="shared" si="11"/>
        <v>120000</v>
      </c>
      <c r="AC19" s="129">
        <f t="shared" si="11"/>
        <v>120000</v>
      </c>
      <c r="AD19" s="129">
        <f t="shared" si="11"/>
        <v>120000</v>
      </c>
      <c r="AE19" s="129">
        <f t="shared" si="11"/>
        <v>120000</v>
      </c>
      <c r="AF19" s="56">
        <f t="shared" si="11"/>
        <v>120000</v>
      </c>
    </row>
    <row r="20" spans="1:33" ht="33" customHeight="1">
      <c r="A20" s="140">
        <v>40229</v>
      </c>
      <c r="B20" s="141"/>
      <c r="C20" s="142" t="s">
        <v>118</v>
      </c>
      <c r="D20" s="143"/>
      <c r="F20" s="78" t="s">
        <v>119</v>
      </c>
      <c r="G20" s="131"/>
      <c r="H20" s="80"/>
      <c r="I20" s="129"/>
      <c r="J20" s="55"/>
      <c r="K20" s="55"/>
      <c r="L20" s="55"/>
      <c r="M20" s="55"/>
      <c r="N20" s="55"/>
      <c r="O20" s="55"/>
      <c r="P20" s="55"/>
      <c r="Q20" s="55"/>
      <c r="R20" s="129"/>
      <c r="S20" s="129"/>
      <c r="T20" s="61">
        <f>-(S17-15000)/5/2</f>
        <v>-2500</v>
      </c>
      <c r="U20" s="62">
        <f t="shared" ref="U20:AB20" si="12">T20</f>
        <v>-2500</v>
      </c>
      <c r="V20" s="62">
        <f t="shared" si="12"/>
        <v>-2500</v>
      </c>
      <c r="W20" s="62">
        <f t="shared" si="12"/>
        <v>-2500</v>
      </c>
      <c r="X20" s="130">
        <f t="shared" si="12"/>
        <v>-2500</v>
      </c>
      <c r="Y20" s="129">
        <f t="shared" si="12"/>
        <v>-2500</v>
      </c>
      <c r="Z20" s="129">
        <f t="shared" si="12"/>
        <v>-2500</v>
      </c>
      <c r="AA20" s="129">
        <f t="shared" si="12"/>
        <v>-2500</v>
      </c>
      <c r="AB20" s="129">
        <f t="shared" si="12"/>
        <v>-2500</v>
      </c>
      <c r="AC20" s="61">
        <f>AB20-((AB17-15000)/5/2)</f>
        <v>-5000</v>
      </c>
      <c r="AD20" s="129">
        <f t="shared" ref="AD20:AF21" si="13">AC20</f>
        <v>-5000</v>
      </c>
      <c r="AE20" s="129">
        <f t="shared" si="13"/>
        <v>-5000</v>
      </c>
      <c r="AF20" s="56">
        <f t="shared" si="13"/>
        <v>-5000</v>
      </c>
    </row>
    <row r="21" spans="1:33" ht="51.75" customHeight="1">
      <c r="A21" s="140">
        <v>40230</v>
      </c>
      <c r="B21" s="141"/>
      <c r="C21" s="142" t="s">
        <v>120</v>
      </c>
      <c r="D21" s="143"/>
      <c r="F21" s="78" t="s">
        <v>121</v>
      </c>
      <c r="G21" s="131"/>
      <c r="H21" s="80"/>
      <c r="I21" s="129"/>
      <c r="J21" s="55"/>
      <c r="K21" s="55"/>
      <c r="L21" s="55"/>
      <c r="M21" s="55"/>
      <c r="N21" s="55"/>
      <c r="O21" s="55"/>
      <c r="P21" s="55"/>
      <c r="Q21" s="55"/>
      <c r="R21" s="129"/>
      <c r="S21" s="61">
        <f>S42</f>
        <v>-1000</v>
      </c>
      <c r="T21" s="55">
        <f t="shared" ref="T21:AA21" si="14">S21</f>
        <v>-1000</v>
      </c>
      <c r="U21" s="62">
        <f t="shared" si="14"/>
        <v>-1000</v>
      </c>
      <c r="V21" s="62">
        <f t="shared" si="14"/>
        <v>-1000</v>
      </c>
      <c r="W21" s="62">
        <f t="shared" si="14"/>
        <v>-1000</v>
      </c>
      <c r="X21" s="130">
        <f t="shared" si="14"/>
        <v>-1000</v>
      </c>
      <c r="Y21" s="129">
        <f t="shared" si="14"/>
        <v>-1000</v>
      </c>
      <c r="Z21" s="129">
        <f t="shared" si="14"/>
        <v>-1000</v>
      </c>
      <c r="AA21" s="129">
        <f t="shared" si="14"/>
        <v>-1000</v>
      </c>
      <c r="AB21" s="61">
        <f>AA21-(AB18/100000*2200)</f>
        <v>-2100</v>
      </c>
      <c r="AC21" s="129">
        <f>AB21</f>
        <v>-2100</v>
      </c>
      <c r="AD21" s="129">
        <f t="shared" si="13"/>
        <v>-2100</v>
      </c>
      <c r="AE21" s="129">
        <f t="shared" si="13"/>
        <v>-2100</v>
      </c>
      <c r="AF21" s="56">
        <f t="shared" si="13"/>
        <v>-2100</v>
      </c>
    </row>
    <row r="22" spans="1:33" ht="75.75" customHeight="1" thickBot="1">
      <c r="A22" s="140">
        <v>40242</v>
      </c>
      <c r="B22" s="141"/>
      <c r="C22" s="142" t="s">
        <v>143</v>
      </c>
      <c r="D22" s="143"/>
      <c r="E22" s="30"/>
      <c r="F22" s="78" t="s">
        <v>72</v>
      </c>
      <c r="G22" s="83"/>
      <c r="H22" s="84"/>
      <c r="I22" s="132"/>
      <c r="J22" s="85"/>
      <c r="K22" s="85"/>
      <c r="L22" s="85"/>
      <c r="M22" s="85"/>
      <c r="N22" s="85"/>
      <c r="O22" s="85"/>
      <c r="P22" s="85"/>
      <c r="Q22" s="85"/>
      <c r="R22" s="132"/>
      <c r="S22" s="132"/>
      <c r="T22" s="85"/>
      <c r="U22" s="86">
        <f>-120000/25/2</f>
        <v>-2400</v>
      </c>
      <c r="V22" s="62">
        <f t="shared" ref="V22:AB22" si="15">U22</f>
        <v>-2400</v>
      </c>
      <c r="W22" s="62">
        <f t="shared" si="15"/>
        <v>-2400</v>
      </c>
      <c r="X22" s="130">
        <f t="shared" si="15"/>
        <v>-2400</v>
      </c>
      <c r="Y22" s="129">
        <f t="shared" si="15"/>
        <v>-2400</v>
      </c>
      <c r="Z22" s="129">
        <f t="shared" si="15"/>
        <v>-2400</v>
      </c>
      <c r="AA22" s="129">
        <f t="shared" si="15"/>
        <v>-2400</v>
      </c>
      <c r="AB22" s="129">
        <f t="shared" si="15"/>
        <v>-2400</v>
      </c>
      <c r="AC22" s="129">
        <f>AB22</f>
        <v>-2400</v>
      </c>
      <c r="AD22" s="100">
        <f>AC22-(AC19/25/2)</f>
        <v>-4800</v>
      </c>
      <c r="AE22" s="129">
        <f>AD22</f>
        <v>-4800</v>
      </c>
      <c r="AF22" s="56">
        <f>AE22</f>
        <v>-4800</v>
      </c>
    </row>
    <row r="23" spans="1:33" ht="54.75" customHeight="1" thickBot="1">
      <c r="A23" s="140">
        <v>40252</v>
      </c>
      <c r="B23" s="141"/>
      <c r="C23" s="142" t="s">
        <v>122</v>
      </c>
      <c r="D23" s="143"/>
      <c r="E23" s="30"/>
      <c r="F23" s="87" t="s">
        <v>74</v>
      </c>
      <c r="G23" s="102">
        <f t="shared" ref="G23:R23" si="16">SUM(G8:G19)</f>
        <v>1500000</v>
      </c>
      <c r="H23" s="88">
        <f t="shared" si="16"/>
        <v>1500000</v>
      </c>
      <c r="I23" s="88">
        <f t="shared" si="16"/>
        <v>1500000</v>
      </c>
      <c r="J23" s="88">
        <f t="shared" si="16"/>
        <v>1500000</v>
      </c>
      <c r="K23" s="88">
        <f t="shared" si="16"/>
        <v>1545000</v>
      </c>
      <c r="L23" s="88">
        <f t="shared" si="16"/>
        <v>1645000</v>
      </c>
      <c r="M23" s="88">
        <f t="shared" si="16"/>
        <v>1630000</v>
      </c>
      <c r="N23" s="88">
        <f t="shared" si="16"/>
        <v>1630000</v>
      </c>
      <c r="O23" s="88">
        <f t="shared" si="16"/>
        <v>1630000</v>
      </c>
      <c r="P23" s="88">
        <f t="shared" si="16"/>
        <v>1630000</v>
      </c>
      <c r="Q23" s="88">
        <f t="shared" si="16"/>
        <v>1585000</v>
      </c>
      <c r="R23" s="88">
        <f t="shared" si="16"/>
        <v>1585000</v>
      </c>
      <c r="S23" s="88">
        <f t="shared" ref="S23:AF23" si="17">SUM(S8:S22)</f>
        <v>1584000</v>
      </c>
      <c r="T23" s="88">
        <f t="shared" si="17"/>
        <v>1581500</v>
      </c>
      <c r="U23" s="88">
        <f t="shared" si="17"/>
        <v>1579100</v>
      </c>
      <c r="V23" s="88">
        <f t="shared" si="17"/>
        <v>2029100</v>
      </c>
      <c r="W23" s="88">
        <f t="shared" si="17"/>
        <v>2059100</v>
      </c>
      <c r="X23" s="88">
        <f t="shared" si="17"/>
        <v>2149100</v>
      </c>
      <c r="Y23" s="88">
        <f t="shared" si="17"/>
        <v>2149100</v>
      </c>
      <c r="Z23" s="88">
        <f t="shared" si="17"/>
        <v>2152100</v>
      </c>
      <c r="AA23" s="88">
        <f t="shared" si="17"/>
        <v>2152100</v>
      </c>
      <c r="AB23" s="88">
        <f t="shared" si="17"/>
        <v>2151000</v>
      </c>
      <c r="AC23" s="88">
        <f t="shared" si="17"/>
        <v>2148500</v>
      </c>
      <c r="AD23" s="88">
        <f t="shared" si="17"/>
        <v>2146100</v>
      </c>
      <c r="AE23" s="88">
        <f t="shared" si="17"/>
        <v>2146100</v>
      </c>
      <c r="AF23" s="88">
        <f t="shared" si="17"/>
        <v>1589305</v>
      </c>
    </row>
    <row r="24" spans="1:33" ht="35.25" customHeight="1">
      <c r="A24" s="140">
        <v>40267</v>
      </c>
      <c r="B24" s="141"/>
      <c r="C24" s="142" t="s">
        <v>123</v>
      </c>
      <c r="D24" s="143"/>
      <c r="E24" s="30"/>
      <c r="F24" s="89" t="s">
        <v>76</v>
      </c>
      <c r="G24" s="90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2"/>
    </row>
    <row r="25" spans="1:33" ht="15.75">
      <c r="A25" s="140">
        <v>40283</v>
      </c>
      <c r="B25" s="141"/>
      <c r="C25" s="142" t="s">
        <v>124</v>
      </c>
      <c r="D25" s="143"/>
      <c r="E25" s="26"/>
      <c r="F25" s="72" t="s">
        <v>78</v>
      </c>
      <c r="G25" s="54"/>
      <c r="H25" s="55"/>
      <c r="I25" s="62"/>
      <c r="J25" s="62"/>
      <c r="K25" s="63">
        <f>K10</f>
        <v>45000</v>
      </c>
      <c r="L25" s="62">
        <f t="shared" ref="L25:P26" si="18">K25</f>
        <v>45000</v>
      </c>
      <c r="M25" s="62">
        <f t="shared" si="18"/>
        <v>45000</v>
      </c>
      <c r="N25" s="62">
        <f t="shared" si="18"/>
        <v>45000</v>
      </c>
      <c r="O25" s="62">
        <f t="shared" si="18"/>
        <v>45000</v>
      </c>
      <c r="P25" s="62">
        <f t="shared" si="18"/>
        <v>45000</v>
      </c>
      <c r="Q25" s="63">
        <v>0</v>
      </c>
      <c r="R25" s="62">
        <f>Q25</f>
        <v>0</v>
      </c>
      <c r="S25" s="62"/>
      <c r="T25" s="62"/>
      <c r="U25" s="62"/>
      <c r="V25" s="62"/>
      <c r="W25" s="63">
        <v>30000</v>
      </c>
      <c r="X25" s="62">
        <f t="shared" ref="X25:AF25" si="19">W25</f>
        <v>30000</v>
      </c>
      <c r="Y25" s="62">
        <f t="shared" si="19"/>
        <v>30000</v>
      </c>
      <c r="Z25" s="62">
        <f t="shared" si="19"/>
        <v>30000</v>
      </c>
      <c r="AA25" s="129">
        <f t="shared" si="19"/>
        <v>30000</v>
      </c>
      <c r="AB25" s="130">
        <f t="shared" si="19"/>
        <v>30000</v>
      </c>
      <c r="AC25" s="129">
        <f t="shared" si="19"/>
        <v>30000</v>
      </c>
      <c r="AD25" s="129">
        <f t="shared" si="19"/>
        <v>30000</v>
      </c>
      <c r="AE25" s="129">
        <f t="shared" si="19"/>
        <v>30000</v>
      </c>
      <c r="AF25" s="81">
        <f t="shared" si="19"/>
        <v>30000</v>
      </c>
    </row>
    <row r="26" spans="1:33" ht="36" customHeight="1">
      <c r="A26" s="140">
        <v>40318</v>
      </c>
      <c r="B26" s="141"/>
      <c r="C26" s="142" t="s">
        <v>125</v>
      </c>
      <c r="D26" s="143"/>
      <c r="F26" s="72" t="s">
        <v>80</v>
      </c>
      <c r="G26" s="54">
        <f>B11</f>
        <v>500000</v>
      </c>
      <c r="H26" s="55">
        <f>G26</f>
        <v>500000</v>
      </c>
      <c r="I26" s="62">
        <f>H26</f>
        <v>500000</v>
      </c>
      <c r="J26" s="62">
        <f>I26</f>
        <v>500000</v>
      </c>
      <c r="K26" s="62">
        <f>J26</f>
        <v>500000</v>
      </c>
      <c r="L26" s="62">
        <f t="shared" si="18"/>
        <v>500000</v>
      </c>
      <c r="M26" s="62">
        <f t="shared" si="18"/>
        <v>500000</v>
      </c>
      <c r="N26" s="62">
        <f t="shared" si="18"/>
        <v>500000</v>
      </c>
      <c r="O26" s="62">
        <f t="shared" si="18"/>
        <v>500000</v>
      </c>
      <c r="P26" s="62">
        <f t="shared" si="18"/>
        <v>500000</v>
      </c>
      <c r="Q26" s="62">
        <f>P26</f>
        <v>500000</v>
      </c>
      <c r="R26" s="62">
        <f>Q26</f>
        <v>500000</v>
      </c>
      <c r="S26" s="62">
        <f t="shared" ref="S26:W27" si="20">R26</f>
        <v>500000</v>
      </c>
      <c r="T26" s="62">
        <f t="shared" si="20"/>
        <v>500000</v>
      </c>
      <c r="U26" s="62">
        <f t="shared" si="20"/>
        <v>500000</v>
      </c>
      <c r="V26" s="62">
        <f t="shared" si="20"/>
        <v>500000</v>
      </c>
      <c r="W26" s="62">
        <f t="shared" si="20"/>
        <v>500000</v>
      </c>
      <c r="X26" s="62">
        <f t="shared" ref="X26:AF26" si="21">W26</f>
        <v>500000</v>
      </c>
      <c r="Y26" s="62">
        <f t="shared" si="21"/>
        <v>500000</v>
      </c>
      <c r="Z26" s="62">
        <f t="shared" si="21"/>
        <v>500000</v>
      </c>
      <c r="AA26" s="129">
        <f t="shared" si="21"/>
        <v>500000</v>
      </c>
      <c r="AB26" s="130">
        <f t="shared" si="21"/>
        <v>500000</v>
      </c>
      <c r="AC26" s="129">
        <f t="shared" si="21"/>
        <v>500000</v>
      </c>
      <c r="AD26" s="129">
        <f t="shared" si="21"/>
        <v>500000</v>
      </c>
      <c r="AE26" s="129">
        <f t="shared" si="21"/>
        <v>500000</v>
      </c>
      <c r="AF26" s="81">
        <f t="shared" si="21"/>
        <v>500000</v>
      </c>
    </row>
    <row r="27" spans="1:33" ht="62.25" customHeight="1">
      <c r="A27" s="140">
        <v>40360</v>
      </c>
      <c r="B27" s="141"/>
      <c r="C27" s="142" t="s">
        <v>126</v>
      </c>
      <c r="D27" s="143"/>
      <c r="F27" s="72" t="s">
        <v>127</v>
      </c>
      <c r="G27" s="131"/>
      <c r="H27" s="55"/>
      <c r="I27" s="62"/>
      <c r="J27" s="62"/>
      <c r="K27" s="62"/>
      <c r="L27" s="62"/>
      <c r="M27" s="62"/>
      <c r="N27" s="62"/>
      <c r="O27" s="62"/>
      <c r="P27" s="62"/>
      <c r="Q27" s="62"/>
      <c r="R27" s="63">
        <v>30000</v>
      </c>
      <c r="S27" s="62">
        <f t="shared" si="20"/>
        <v>30000</v>
      </c>
      <c r="T27" s="62">
        <f t="shared" si="20"/>
        <v>30000</v>
      </c>
      <c r="U27" s="62">
        <f t="shared" si="20"/>
        <v>30000</v>
      </c>
      <c r="V27" s="62">
        <f t="shared" si="20"/>
        <v>30000</v>
      </c>
      <c r="W27" s="62">
        <f t="shared" si="20"/>
        <v>30000</v>
      </c>
      <c r="X27" s="62">
        <f t="shared" ref="X27:AF27" si="22">W27</f>
        <v>30000</v>
      </c>
      <c r="Y27" s="62">
        <f t="shared" si="22"/>
        <v>30000</v>
      </c>
      <c r="Z27" s="62">
        <f t="shared" si="22"/>
        <v>30000</v>
      </c>
      <c r="AA27" s="129">
        <f t="shared" si="22"/>
        <v>30000</v>
      </c>
      <c r="AB27" s="130">
        <f t="shared" si="22"/>
        <v>30000</v>
      </c>
      <c r="AC27" s="129">
        <f t="shared" si="22"/>
        <v>30000</v>
      </c>
      <c r="AD27" s="129">
        <f t="shared" si="22"/>
        <v>30000</v>
      </c>
      <c r="AE27" s="129">
        <f t="shared" si="22"/>
        <v>30000</v>
      </c>
      <c r="AF27" s="81">
        <f t="shared" si="22"/>
        <v>30000</v>
      </c>
    </row>
    <row r="28" spans="1:33" ht="15.75">
      <c r="A28" s="140" t="s">
        <v>105</v>
      </c>
      <c r="B28" s="141"/>
      <c r="C28" s="142" t="s">
        <v>128</v>
      </c>
      <c r="D28" s="143"/>
      <c r="F28" s="72" t="s">
        <v>82</v>
      </c>
      <c r="G28" s="67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9"/>
    </row>
    <row r="29" spans="1:33" ht="15.75">
      <c r="A29" s="140" t="s">
        <v>106</v>
      </c>
      <c r="B29" s="141"/>
      <c r="C29" s="142" t="s">
        <v>79</v>
      </c>
      <c r="D29" s="143"/>
      <c r="F29" s="72" t="s">
        <v>84</v>
      </c>
      <c r="G29" s="94">
        <v>1000000</v>
      </c>
      <c r="H29" s="55">
        <f t="shared" ref="H29:AF29" si="23">G29</f>
        <v>1000000</v>
      </c>
      <c r="I29" s="62">
        <f t="shared" si="23"/>
        <v>1000000</v>
      </c>
      <c r="J29" s="62">
        <f t="shared" si="23"/>
        <v>1000000</v>
      </c>
      <c r="K29" s="62">
        <f t="shared" si="23"/>
        <v>1000000</v>
      </c>
      <c r="L29" s="62">
        <f t="shared" si="23"/>
        <v>1000000</v>
      </c>
      <c r="M29" s="62">
        <f t="shared" si="23"/>
        <v>1000000</v>
      </c>
      <c r="N29" s="62">
        <f t="shared" si="23"/>
        <v>1000000</v>
      </c>
      <c r="O29" s="62">
        <f t="shared" si="23"/>
        <v>1000000</v>
      </c>
      <c r="P29" s="62">
        <f t="shared" si="23"/>
        <v>1000000</v>
      </c>
      <c r="Q29" s="62">
        <f t="shared" si="23"/>
        <v>1000000</v>
      </c>
      <c r="R29" s="62">
        <f t="shared" si="23"/>
        <v>1000000</v>
      </c>
      <c r="S29" s="62">
        <f t="shared" si="23"/>
        <v>1000000</v>
      </c>
      <c r="T29" s="62">
        <f t="shared" si="23"/>
        <v>1000000</v>
      </c>
      <c r="U29" s="62">
        <f t="shared" si="23"/>
        <v>1000000</v>
      </c>
      <c r="V29" s="62">
        <f t="shared" si="23"/>
        <v>1000000</v>
      </c>
      <c r="W29" s="62">
        <f t="shared" si="23"/>
        <v>1000000</v>
      </c>
      <c r="X29" s="62">
        <f t="shared" si="23"/>
        <v>1000000</v>
      </c>
      <c r="Y29" s="62">
        <f t="shared" si="23"/>
        <v>1000000</v>
      </c>
      <c r="Z29" s="62">
        <f t="shared" si="23"/>
        <v>1000000</v>
      </c>
      <c r="AA29" s="129">
        <f t="shared" si="23"/>
        <v>1000000</v>
      </c>
      <c r="AB29" s="130">
        <f t="shared" si="23"/>
        <v>1000000</v>
      </c>
      <c r="AC29" s="129">
        <f t="shared" si="23"/>
        <v>1000000</v>
      </c>
      <c r="AD29" s="129">
        <f t="shared" si="23"/>
        <v>1000000</v>
      </c>
      <c r="AE29" s="129">
        <f t="shared" si="23"/>
        <v>1000000</v>
      </c>
      <c r="AF29" s="81">
        <f t="shared" si="23"/>
        <v>1000000</v>
      </c>
    </row>
    <row r="30" spans="1:33" ht="33" customHeight="1">
      <c r="A30" s="190">
        <v>40398</v>
      </c>
      <c r="B30" s="191"/>
      <c r="C30" s="142" t="s">
        <v>129</v>
      </c>
      <c r="D30" s="143"/>
      <c r="F30" s="53" t="s">
        <v>45</v>
      </c>
      <c r="G30" s="67"/>
      <c r="H30" s="95"/>
      <c r="I30" s="95"/>
      <c r="J30" s="95"/>
      <c r="K30" s="95"/>
      <c r="L30" s="95"/>
      <c r="M30" s="95"/>
      <c r="N30" s="95"/>
      <c r="O30" s="95"/>
      <c r="P30" s="68"/>
      <c r="Q30" s="68"/>
      <c r="R30" s="68"/>
      <c r="S30" s="68"/>
      <c r="T30" s="62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1">
        <f>AD45*0.05</f>
        <v>29305</v>
      </c>
      <c r="AF30" s="56">
        <f>AE30</f>
        <v>29305</v>
      </c>
    </row>
    <row r="31" spans="1:33" ht="16.5" thickBot="1">
      <c r="A31" s="140">
        <v>40436</v>
      </c>
      <c r="B31" s="141"/>
      <c r="C31" s="142" t="s">
        <v>130</v>
      </c>
      <c r="D31" s="143"/>
      <c r="F31" s="96" t="s">
        <v>46</v>
      </c>
      <c r="G31" s="97">
        <f t="shared" ref="G31:AD31" si="24">G45</f>
        <v>0</v>
      </c>
      <c r="H31" s="98">
        <f t="shared" si="24"/>
        <v>0</v>
      </c>
      <c r="I31" s="98">
        <f t="shared" si="24"/>
        <v>0</v>
      </c>
      <c r="J31" s="98">
        <f t="shared" si="24"/>
        <v>0</v>
      </c>
      <c r="K31" s="98">
        <f t="shared" si="24"/>
        <v>0</v>
      </c>
      <c r="L31" s="98">
        <f t="shared" si="24"/>
        <v>100000</v>
      </c>
      <c r="M31" s="99">
        <f t="shared" si="24"/>
        <v>85000</v>
      </c>
      <c r="N31" s="99">
        <f t="shared" si="24"/>
        <v>85000</v>
      </c>
      <c r="O31" s="99">
        <f t="shared" si="24"/>
        <v>85000</v>
      </c>
      <c r="P31" s="99">
        <f t="shared" si="24"/>
        <v>85000</v>
      </c>
      <c r="Q31" s="99">
        <f t="shared" si="24"/>
        <v>85000</v>
      </c>
      <c r="R31" s="99">
        <f t="shared" si="24"/>
        <v>55000</v>
      </c>
      <c r="S31" s="99">
        <f t="shared" si="24"/>
        <v>54000</v>
      </c>
      <c r="T31" s="99">
        <f t="shared" si="24"/>
        <v>51500</v>
      </c>
      <c r="U31" s="99">
        <f t="shared" si="24"/>
        <v>49100</v>
      </c>
      <c r="V31" s="99">
        <f t="shared" si="24"/>
        <v>499100</v>
      </c>
      <c r="W31" s="99">
        <f t="shared" si="24"/>
        <v>499100</v>
      </c>
      <c r="X31" s="99">
        <f t="shared" si="24"/>
        <v>589100</v>
      </c>
      <c r="Y31" s="99">
        <f t="shared" si="24"/>
        <v>589100</v>
      </c>
      <c r="Z31" s="99">
        <f t="shared" si="24"/>
        <v>592100</v>
      </c>
      <c r="AA31" s="99">
        <f t="shared" si="24"/>
        <v>592100</v>
      </c>
      <c r="AB31" s="99">
        <f t="shared" si="24"/>
        <v>591000</v>
      </c>
      <c r="AC31" s="99">
        <f t="shared" si="24"/>
        <v>588500</v>
      </c>
      <c r="AD31" s="99">
        <f t="shared" si="24"/>
        <v>586100</v>
      </c>
      <c r="AE31" s="100">
        <f>AD31-AE30</f>
        <v>556795</v>
      </c>
      <c r="AF31" s="101">
        <v>0</v>
      </c>
    </row>
    <row r="32" spans="1:33" ht="45.75" customHeight="1" thickBot="1">
      <c r="A32" s="140">
        <v>40543</v>
      </c>
      <c r="B32" s="141"/>
      <c r="C32" s="142" t="s">
        <v>131</v>
      </c>
      <c r="D32" s="143"/>
      <c r="F32" s="87" t="s">
        <v>88</v>
      </c>
      <c r="G32" s="102">
        <f t="shared" ref="G32:AF32" si="25">SUM(G25:G31)</f>
        <v>1500000</v>
      </c>
      <c r="H32" s="88">
        <f t="shared" si="25"/>
        <v>1500000</v>
      </c>
      <c r="I32" s="88">
        <f t="shared" si="25"/>
        <v>1500000</v>
      </c>
      <c r="J32" s="88">
        <f t="shared" si="25"/>
        <v>1500000</v>
      </c>
      <c r="K32" s="88">
        <f t="shared" si="25"/>
        <v>1545000</v>
      </c>
      <c r="L32" s="88">
        <f t="shared" si="25"/>
        <v>1645000</v>
      </c>
      <c r="M32" s="88">
        <f t="shared" si="25"/>
        <v>1630000</v>
      </c>
      <c r="N32" s="88">
        <f t="shared" si="25"/>
        <v>1630000</v>
      </c>
      <c r="O32" s="88">
        <f t="shared" si="25"/>
        <v>1630000</v>
      </c>
      <c r="P32" s="88">
        <f t="shared" si="25"/>
        <v>1630000</v>
      </c>
      <c r="Q32" s="88">
        <f t="shared" si="25"/>
        <v>1585000</v>
      </c>
      <c r="R32" s="88">
        <f t="shared" si="25"/>
        <v>1585000</v>
      </c>
      <c r="S32" s="88">
        <f t="shared" si="25"/>
        <v>1584000</v>
      </c>
      <c r="T32" s="88">
        <f t="shared" si="25"/>
        <v>1581500</v>
      </c>
      <c r="U32" s="88">
        <f t="shared" si="25"/>
        <v>1579100</v>
      </c>
      <c r="V32" s="88">
        <f t="shared" si="25"/>
        <v>2029100</v>
      </c>
      <c r="W32" s="88">
        <f t="shared" si="25"/>
        <v>2059100</v>
      </c>
      <c r="X32" s="88">
        <f t="shared" si="25"/>
        <v>2149100</v>
      </c>
      <c r="Y32" s="88">
        <f t="shared" si="25"/>
        <v>2149100</v>
      </c>
      <c r="Z32" s="88">
        <f t="shared" si="25"/>
        <v>2152100</v>
      </c>
      <c r="AA32" s="88">
        <f t="shared" si="25"/>
        <v>2152100</v>
      </c>
      <c r="AB32" s="88">
        <f t="shared" si="25"/>
        <v>2151000</v>
      </c>
      <c r="AC32" s="88">
        <f t="shared" si="25"/>
        <v>2148500</v>
      </c>
      <c r="AD32" s="88">
        <f t="shared" si="25"/>
        <v>2146100</v>
      </c>
      <c r="AE32" s="88">
        <f t="shared" si="25"/>
        <v>2146100</v>
      </c>
      <c r="AF32" s="88">
        <f t="shared" si="25"/>
        <v>1589305</v>
      </c>
      <c r="AG32" s="116"/>
    </row>
    <row r="33" spans="1:32" ht="33.75" customHeight="1" thickBot="1">
      <c r="A33" s="140" t="s">
        <v>37</v>
      </c>
      <c r="B33" s="141"/>
      <c r="C33" s="142" t="s">
        <v>132</v>
      </c>
      <c r="D33" s="143"/>
      <c r="F33" s="103"/>
      <c r="G33" s="26" t="str">
        <f t="shared" ref="G33:AF33" si="26">IF(G32=G23,"ok","verificar")</f>
        <v>ok</v>
      </c>
      <c r="H33" s="26" t="str">
        <f t="shared" si="26"/>
        <v>ok</v>
      </c>
      <c r="I33" s="26" t="str">
        <f t="shared" si="26"/>
        <v>ok</v>
      </c>
      <c r="J33" s="26" t="str">
        <f t="shared" si="26"/>
        <v>ok</v>
      </c>
      <c r="K33" s="26" t="str">
        <f t="shared" si="26"/>
        <v>ok</v>
      </c>
      <c r="L33" s="26" t="str">
        <f t="shared" si="26"/>
        <v>ok</v>
      </c>
      <c r="M33" s="26" t="str">
        <f t="shared" si="26"/>
        <v>ok</v>
      </c>
      <c r="N33" s="26" t="str">
        <f t="shared" si="26"/>
        <v>ok</v>
      </c>
      <c r="O33" s="26" t="str">
        <f t="shared" si="26"/>
        <v>ok</v>
      </c>
      <c r="P33" s="26" t="str">
        <f t="shared" si="26"/>
        <v>ok</v>
      </c>
      <c r="Q33" s="26" t="str">
        <f t="shared" si="26"/>
        <v>ok</v>
      </c>
      <c r="R33" s="26" t="str">
        <f t="shared" si="26"/>
        <v>ok</v>
      </c>
      <c r="S33" s="26" t="str">
        <f t="shared" si="26"/>
        <v>ok</v>
      </c>
      <c r="T33" s="26" t="str">
        <f t="shared" si="26"/>
        <v>ok</v>
      </c>
      <c r="U33" s="26" t="str">
        <f t="shared" si="26"/>
        <v>ok</v>
      </c>
      <c r="V33" s="26" t="str">
        <f t="shared" si="26"/>
        <v>ok</v>
      </c>
      <c r="W33" s="26" t="str">
        <f t="shared" si="26"/>
        <v>ok</v>
      </c>
      <c r="X33" s="26" t="str">
        <f t="shared" si="26"/>
        <v>ok</v>
      </c>
      <c r="Y33" s="26" t="str">
        <f t="shared" si="26"/>
        <v>ok</v>
      </c>
      <c r="Z33" s="26" t="str">
        <f t="shared" si="26"/>
        <v>ok</v>
      </c>
      <c r="AA33" s="26" t="str">
        <f t="shared" si="26"/>
        <v>ok</v>
      </c>
      <c r="AB33" s="26" t="str">
        <f t="shared" si="26"/>
        <v>ok</v>
      </c>
      <c r="AC33" s="26" t="str">
        <f t="shared" si="26"/>
        <v>ok</v>
      </c>
      <c r="AD33" s="26" t="str">
        <f t="shared" si="26"/>
        <v>ok</v>
      </c>
      <c r="AE33" s="26" t="str">
        <f t="shared" si="26"/>
        <v>ok</v>
      </c>
      <c r="AF33" s="26" t="str">
        <f t="shared" si="26"/>
        <v>ok</v>
      </c>
    </row>
    <row r="34" spans="1:32" ht="35.25" customHeight="1" thickBot="1">
      <c r="A34" s="140" t="s">
        <v>38</v>
      </c>
      <c r="B34" s="141"/>
      <c r="C34" s="142" t="s">
        <v>133</v>
      </c>
      <c r="D34" s="143"/>
      <c r="F34" s="150" t="s">
        <v>91</v>
      </c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44" t="s">
        <v>92</v>
      </c>
      <c r="AF34" s="145"/>
    </row>
    <row r="35" spans="1:32" ht="37.5" customHeight="1" thickBot="1">
      <c r="A35" s="140" t="s">
        <v>39</v>
      </c>
      <c r="B35" s="141"/>
      <c r="C35" s="142" t="s">
        <v>134</v>
      </c>
      <c r="D35" s="143"/>
      <c r="F35" s="108" t="s">
        <v>93</v>
      </c>
      <c r="G35" s="35">
        <v>40179</v>
      </c>
      <c r="H35" s="35" t="s">
        <v>36</v>
      </c>
      <c r="I35" s="35" t="s">
        <v>103</v>
      </c>
      <c r="J35" s="35" t="s">
        <v>104</v>
      </c>
      <c r="K35" s="36">
        <v>40214</v>
      </c>
      <c r="L35" s="36">
        <v>40229</v>
      </c>
      <c r="M35" s="36">
        <v>40230</v>
      </c>
      <c r="N35" s="36">
        <v>40242</v>
      </c>
      <c r="O35" s="36">
        <v>40252</v>
      </c>
      <c r="P35" s="36">
        <v>40267</v>
      </c>
      <c r="Q35" s="36">
        <v>40283</v>
      </c>
      <c r="R35" s="36">
        <v>40318</v>
      </c>
      <c r="S35" s="36">
        <v>40360</v>
      </c>
      <c r="T35" s="127" t="s">
        <v>105</v>
      </c>
      <c r="U35" s="127" t="s">
        <v>106</v>
      </c>
      <c r="V35" s="37">
        <v>40398</v>
      </c>
      <c r="W35" s="37">
        <v>40436</v>
      </c>
      <c r="X35" s="37">
        <v>40543</v>
      </c>
      <c r="Y35" s="37" t="s">
        <v>37</v>
      </c>
      <c r="Z35" s="37" t="s">
        <v>38</v>
      </c>
      <c r="AA35" s="37" t="s">
        <v>39</v>
      </c>
      <c r="AB35" s="37" t="s">
        <v>40</v>
      </c>
      <c r="AC35" s="37" t="s">
        <v>41</v>
      </c>
      <c r="AD35" s="37" t="s">
        <v>42</v>
      </c>
      <c r="AE35" s="146"/>
      <c r="AF35" s="147"/>
    </row>
    <row r="36" spans="1:32" ht="36" customHeight="1">
      <c r="A36" s="140" t="s">
        <v>40</v>
      </c>
      <c r="B36" s="141"/>
      <c r="C36" s="142" t="s">
        <v>135</v>
      </c>
      <c r="D36" s="143"/>
      <c r="F36" s="109" t="s">
        <v>94</v>
      </c>
      <c r="G36" s="110"/>
      <c r="H36" s="110"/>
      <c r="I36" s="110"/>
      <c r="J36" s="110"/>
      <c r="K36" s="110"/>
      <c r="L36" s="111">
        <v>100000</v>
      </c>
      <c r="M36" s="110">
        <f t="shared" ref="M36:U36" si="27">L36</f>
        <v>100000</v>
      </c>
      <c r="N36" s="55">
        <f t="shared" si="27"/>
        <v>100000</v>
      </c>
      <c r="O36" s="110">
        <f t="shared" si="27"/>
        <v>100000</v>
      </c>
      <c r="P36" s="62">
        <f t="shared" si="27"/>
        <v>100000</v>
      </c>
      <c r="Q36" s="62">
        <f t="shared" si="27"/>
        <v>100000</v>
      </c>
      <c r="R36" s="62">
        <f t="shared" si="27"/>
        <v>100000</v>
      </c>
      <c r="S36" s="62">
        <f t="shared" si="27"/>
        <v>100000</v>
      </c>
      <c r="T36" s="62">
        <f t="shared" si="27"/>
        <v>100000</v>
      </c>
      <c r="U36" s="62">
        <f t="shared" si="27"/>
        <v>100000</v>
      </c>
      <c r="V36" s="63">
        <f>U36+450000</f>
        <v>550000</v>
      </c>
      <c r="W36" s="130">
        <f t="shared" ref="W36:AD37" si="28">V36</f>
        <v>550000</v>
      </c>
      <c r="X36" s="130">
        <f t="shared" si="28"/>
        <v>550000</v>
      </c>
      <c r="Y36" s="130">
        <f t="shared" si="28"/>
        <v>550000</v>
      </c>
      <c r="Z36" s="130">
        <f t="shared" si="28"/>
        <v>550000</v>
      </c>
      <c r="AA36" s="130">
        <f t="shared" si="28"/>
        <v>550000</v>
      </c>
      <c r="AB36" s="130">
        <f t="shared" si="28"/>
        <v>550000</v>
      </c>
      <c r="AC36" s="130">
        <f t="shared" si="28"/>
        <v>550000</v>
      </c>
      <c r="AD36" s="130">
        <f t="shared" si="28"/>
        <v>550000</v>
      </c>
      <c r="AE36" s="146"/>
      <c r="AF36" s="147"/>
    </row>
    <row r="37" spans="1:32" ht="15.75">
      <c r="A37" s="140" t="s">
        <v>41</v>
      </c>
      <c r="B37" s="141"/>
      <c r="C37" s="142" t="s">
        <v>128</v>
      </c>
      <c r="D37" s="143"/>
      <c r="F37" s="112" t="s">
        <v>95</v>
      </c>
      <c r="G37" s="113"/>
      <c r="H37" s="55"/>
      <c r="I37" s="55"/>
      <c r="J37" s="55"/>
      <c r="K37" s="55"/>
      <c r="L37" s="55"/>
      <c r="M37" s="61">
        <f>-15000</f>
        <v>-15000</v>
      </c>
      <c r="N37" s="62">
        <f t="shared" ref="N37:V37" si="29">M37</f>
        <v>-15000</v>
      </c>
      <c r="O37" s="110">
        <f t="shared" si="29"/>
        <v>-15000</v>
      </c>
      <c r="P37" s="62">
        <f t="shared" si="29"/>
        <v>-15000</v>
      </c>
      <c r="Q37" s="62">
        <f t="shared" si="29"/>
        <v>-15000</v>
      </c>
      <c r="R37" s="62">
        <f t="shared" si="29"/>
        <v>-15000</v>
      </c>
      <c r="S37" s="62">
        <f t="shared" si="29"/>
        <v>-15000</v>
      </c>
      <c r="T37" s="62">
        <f t="shared" si="29"/>
        <v>-15000</v>
      </c>
      <c r="U37" s="62">
        <f t="shared" si="29"/>
        <v>-15000</v>
      </c>
      <c r="V37" s="62">
        <f t="shared" si="29"/>
        <v>-15000</v>
      </c>
      <c r="W37" s="62">
        <f t="shared" si="28"/>
        <v>-15000</v>
      </c>
      <c r="X37" s="62">
        <f t="shared" si="28"/>
        <v>-15000</v>
      </c>
      <c r="Y37" s="62">
        <f t="shared" si="28"/>
        <v>-15000</v>
      </c>
      <c r="Z37" s="62">
        <f t="shared" si="28"/>
        <v>-15000</v>
      </c>
      <c r="AA37" s="62">
        <f t="shared" si="28"/>
        <v>-15000</v>
      </c>
      <c r="AB37" s="62">
        <f t="shared" si="28"/>
        <v>-15000</v>
      </c>
      <c r="AC37" s="62">
        <f t="shared" si="28"/>
        <v>-15000</v>
      </c>
      <c r="AD37" s="62">
        <f t="shared" si="28"/>
        <v>-15000</v>
      </c>
      <c r="AE37" s="146"/>
      <c r="AF37" s="147"/>
    </row>
    <row r="38" spans="1:32" ht="15.75">
      <c r="A38" s="140" t="s">
        <v>42</v>
      </c>
      <c r="B38" s="141"/>
      <c r="C38" s="142" t="s">
        <v>79</v>
      </c>
      <c r="D38" s="143"/>
      <c r="F38" s="112"/>
      <c r="G38" s="113"/>
      <c r="H38" s="55"/>
      <c r="I38" s="55"/>
      <c r="J38" s="55"/>
      <c r="K38" s="55"/>
      <c r="L38" s="55"/>
      <c r="M38" s="55"/>
      <c r="N38" s="55"/>
      <c r="O38" s="55"/>
      <c r="P38" s="93"/>
      <c r="Q38" s="93"/>
      <c r="R38" s="93"/>
      <c r="S38" s="93"/>
      <c r="T38" s="93"/>
      <c r="U38" s="62">
        <f>T38</f>
        <v>0</v>
      </c>
      <c r="V38" s="93"/>
      <c r="W38" s="93"/>
      <c r="X38" s="93"/>
      <c r="Y38" s="93"/>
      <c r="Z38" s="93"/>
      <c r="AA38" s="93"/>
      <c r="AB38" s="93"/>
      <c r="AC38" s="93"/>
      <c r="AD38" s="93"/>
      <c r="AE38" s="146"/>
      <c r="AF38" s="147"/>
    </row>
    <row r="39" spans="1:32" ht="15.75">
      <c r="A39" s="140" t="s">
        <v>107</v>
      </c>
      <c r="B39" s="141"/>
      <c r="C39" s="142" t="s">
        <v>87</v>
      </c>
      <c r="D39" s="143"/>
      <c r="F39" s="112" t="s">
        <v>96</v>
      </c>
      <c r="G39" s="114">
        <f t="shared" ref="G39:AD39" si="30">SUM(G36:G38)</f>
        <v>0</v>
      </c>
      <c r="H39" s="114">
        <f t="shared" si="30"/>
        <v>0</v>
      </c>
      <c r="I39" s="114">
        <f t="shared" si="30"/>
        <v>0</v>
      </c>
      <c r="J39" s="114">
        <f t="shared" si="30"/>
        <v>0</v>
      </c>
      <c r="K39" s="114">
        <f t="shared" si="30"/>
        <v>0</v>
      </c>
      <c r="L39" s="114">
        <f t="shared" si="30"/>
        <v>100000</v>
      </c>
      <c r="M39" s="114">
        <f t="shared" si="30"/>
        <v>85000</v>
      </c>
      <c r="N39" s="114">
        <f t="shared" si="30"/>
        <v>85000</v>
      </c>
      <c r="O39" s="114">
        <f t="shared" si="30"/>
        <v>85000</v>
      </c>
      <c r="P39" s="115">
        <f t="shared" si="30"/>
        <v>85000</v>
      </c>
      <c r="Q39" s="115">
        <f t="shared" si="30"/>
        <v>85000</v>
      </c>
      <c r="R39" s="115">
        <f t="shared" si="30"/>
        <v>85000</v>
      </c>
      <c r="S39" s="115">
        <f t="shared" si="30"/>
        <v>85000</v>
      </c>
      <c r="T39" s="115">
        <f t="shared" si="30"/>
        <v>85000</v>
      </c>
      <c r="U39" s="115">
        <f t="shared" si="30"/>
        <v>85000</v>
      </c>
      <c r="V39" s="115">
        <f t="shared" si="30"/>
        <v>535000</v>
      </c>
      <c r="W39" s="115">
        <f t="shared" si="30"/>
        <v>535000</v>
      </c>
      <c r="X39" s="115">
        <f t="shared" si="30"/>
        <v>535000</v>
      </c>
      <c r="Y39" s="115">
        <f t="shared" si="30"/>
        <v>535000</v>
      </c>
      <c r="Z39" s="115">
        <f t="shared" si="30"/>
        <v>535000</v>
      </c>
      <c r="AA39" s="115">
        <f t="shared" si="30"/>
        <v>535000</v>
      </c>
      <c r="AB39" s="115">
        <f t="shared" si="30"/>
        <v>535000</v>
      </c>
      <c r="AC39" s="115">
        <f t="shared" si="30"/>
        <v>535000</v>
      </c>
      <c r="AD39" s="115">
        <f t="shared" si="30"/>
        <v>535000</v>
      </c>
      <c r="AE39" s="146"/>
      <c r="AF39" s="147"/>
    </row>
    <row r="40" spans="1:32" ht="31.5" customHeight="1" thickBot="1">
      <c r="A40" s="140" t="s">
        <v>108</v>
      </c>
      <c r="B40" s="141"/>
      <c r="C40" s="142" t="s">
        <v>89</v>
      </c>
      <c r="D40" s="143"/>
      <c r="F40" s="112" t="s">
        <v>101</v>
      </c>
      <c r="G40" s="114"/>
      <c r="H40" s="117"/>
      <c r="I40" s="117"/>
      <c r="J40" s="117"/>
      <c r="K40" s="117"/>
      <c r="L40" s="117"/>
      <c r="M40" s="117"/>
      <c r="N40" s="117"/>
      <c r="O40" s="117"/>
      <c r="P40" s="118"/>
      <c r="Q40" s="118"/>
      <c r="R40" s="118"/>
      <c r="S40" s="118"/>
      <c r="T40" s="118"/>
      <c r="U40" s="62">
        <f>T40</f>
        <v>0</v>
      </c>
      <c r="V40" s="118"/>
      <c r="W40" s="118"/>
      <c r="X40" s="118"/>
      <c r="Y40" s="118"/>
      <c r="Z40" s="118"/>
      <c r="AA40" s="118"/>
      <c r="AB40" s="118"/>
      <c r="AC40" s="118"/>
      <c r="AD40" s="118"/>
      <c r="AE40" s="146"/>
      <c r="AF40" s="147"/>
    </row>
    <row r="41" spans="1:32" ht="16.5" thickBot="1">
      <c r="A41" s="104" t="s">
        <v>90</v>
      </c>
      <c r="B41" s="105"/>
      <c r="C41" s="105"/>
      <c r="D41" s="106"/>
      <c r="F41" s="112" t="s">
        <v>136</v>
      </c>
      <c r="G41" s="119"/>
      <c r="H41" s="55"/>
      <c r="I41" s="55"/>
      <c r="J41" s="55"/>
      <c r="K41" s="55"/>
      <c r="L41" s="55"/>
      <c r="M41" s="55"/>
      <c r="N41" s="55"/>
      <c r="O41" s="55"/>
      <c r="P41" s="93"/>
      <c r="Q41" s="93"/>
      <c r="R41" s="133">
        <v>-30000</v>
      </c>
      <c r="S41" s="93">
        <f>R41</f>
        <v>-30000</v>
      </c>
      <c r="T41" s="93">
        <f>S41</f>
        <v>-30000</v>
      </c>
      <c r="U41" s="62">
        <f>T41</f>
        <v>-30000</v>
      </c>
      <c r="V41" s="62">
        <f t="shared" ref="V41:AD41" si="31">U41</f>
        <v>-30000</v>
      </c>
      <c r="W41" s="62">
        <f t="shared" si="31"/>
        <v>-30000</v>
      </c>
      <c r="X41" s="62">
        <f t="shared" si="31"/>
        <v>-30000</v>
      </c>
      <c r="Y41" s="62">
        <f t="shared" si="31"/>
        <v>-30000</v>
      </c>
      <c r="Z41" s="62">
        <f t="shared" si="31"/>
        <v>-30000</v>
      </c>
      <c r="AA41" s="62">
        <f t="shared" si="31"/>
        <v>-30000</v>
      </c>
      <c r="AB41" s="62">
        <f t="shared" si="31"/>
        <v>-30000</v>
      </c>
      <c r="AC41" s="62">
        <f t="shared" si="31"/>
        <v>-30000</v>
      </c>
      <c r="AD41" s="62">
        <f t="shared" si="31"/>
        <v>-30000</v>
      </c>
      <c r="AE41" s="146"/>
      <c r="AF41" s="147"/>
    </row>
    <row r="42" spans="1:32" ht="15.75">
      <c r="F42" s="112" t="s">
        <v>97</v>
      </c>
      <c r="G42" s="119"/>
      <c r="H42" s="55"/>
      <c r="I42" s="55"/>
      <c r="J42" s="55"/>
      <c r="K42" s="55"/>
      <c r="L42" s="55"/>
      <c r="M42" s="55"/>
      <c r="N42" s="55"/>
      <c r="O42" s="55"/>
      <c r="P42" s="93"/>
      <c r="Q42" s="93"/>
      <c r="R42" s="93"/>
      <c r="S42" s="133">
        <f>-S18/100000*2000</f>
        <v>-1000</v>
      </c>
      <c r="T42" s="133">
        <f>T20+S42</f>
        <v>-3500</v>
      </c>
      <c r="U42" s="63">
        <f>T42+U22</f>
        <v>-5900</v>
      </c>
      <c r="V42" s="62">
        <f t="shared" ref="V42:AA42" si="32">U42</f>
        <v>-5900</v>
      </c>
      <c r="W42" s="62">
        <f t="shared" si="32"/>
        <v>-5900</v>
      </c>
      <c r="X42" s="62">
        <f t="shared" si="32"/>
        <v>-5900</v>
      </c>
      <c r="Y42" s="62">
        <f t="shared" si="32"/>
        <v>-5900</v>
      </c>
      <c r="Z42" s="62">
        <f t="shared" si="32"/>
        <v>-5900</v>
      </c>
      <c r="AA42" s="62">
        <f t="shared" si="32"/>
        <v>-5900</v>
      </c>
      <c r="AB42" s="63">
        <f>AA42-(AA18/100000*2200)</f>
        <v>-7000</v>
      </c>
      <c r="AC42" s="63">
        <f>AB42-((AC17-15000)/5/2)</f>
        <v>-9500</v>
      </c>
      <c r="AD42" s="63">
        <f>AC42-(AC19/25/2)</f>
        <v>-11900</v>
      </c>
      <c r="AE42" s="146"/>
      <c r="AF42" s="147"/>
    </row>
    <row r="43" spans="1:32" ht="31.5">
      <c r="F43" s="112" t="s">
        <v>98</v>
      </c>
      <c r="G43" s="114"/>
      <c r="H43" s="68"/>
      <c r="I43" s="68"/>
      <c r="J43" s="68"/>
      <c r="K43" s="68"/>
      <c r="L43" s="68"/>
      <c r="M43" s="55"/>
      <c r="N43" s="55"/>
      <c r="O43" s="55"/>
      <c r="P43" s="93"/>
      <c r="Q43" s="93"/>
      <c r="R43" s="93"/>
      <c r="S43" s="93"/>
      <c r="T43" s="93"/>
      <c r="U43" s="62">
        <f>T43</f>
        <v>0</v>
      </c>
      <c r="V43" s="93"/>
      <c r="W43" s="93"/>
      <c r="X43" s="133">
        <v>90000</v>
      </c>
      <c r="Y43" s="134">
        <f t="shared" ref="Y43:AD43" si="33">X43</f>
        <v>90000</v>
      </c>
      <c r="Z43" s="134">
        <f t="shared" si="33"/>
        <v>90000</v>
      </c>
      <c r="AA43" s="134">
        <f t="shared" si="33"/>
        <v>90000</v>
      </c>
      <c r="AB43" s="134">
        <f t="shared" si="33"/>
        <v>90000</v>
      </c>
      <c r="AC43" s="134">
        <f t="shared" si="33"/>
        <v>90000</v>
      </c>
      <c r="AD43" s="134">
        <f t="shared" si="33"/>
        <v>90000</v>
      </c>
      <c r="AE43" s="146"/>
      <c r="AF43" s="147"/>
    </row>
    <row r="44" spans="1:32" ht="31.5" customHeight="1">
      <c r="F44" s="109"/>
      <c r="G44" s="120"/>
      <c r="H44" s="68"/>
      <c r="I44" s="68"/>
      <c r="J44" s="68"/>
      <c r="K44" s="68"/>
      <c r="L44" s="68"/>
      <c r="M44" s="68"/>
      <c r="N44" s="68"/>
      <c r="O44" s="68"/>
      <c r="P44" s="121"/>
      <c r="Q44" s="121"/>
      <c r="R44" s="121"/>
      <c r="S44" s="121"/>
      <c r="T44" s="121"/>
      <c r="U44" s="62">
        <f>T44</f>
        <v>0</v>
      </c>
      <c r="V44" s="121"/>
      <c r="W44" s="121"/>
      <c r="X44" s="121"/>
      <c r="Y44" s="121"/>
      <c r="Z44" s="122">
        <f>15000*0.2</f>
        <v>3000</v>
      </c>
      <c r="AA44" s="135">
        <f>15000*0.2</f>
        <v>3000</v>
      </c>
      <c r="AB44" s="135">
        <f>15000*0.2</f>
        <v>3000</v>
      </c>
      <c r="AC44" s="135">
        <f>15000*0.2</f>
        <v>3000</v>
      </c>
      <c r="AD44" s="135">
        <f>15000*0.2</f>
        <v>3000</v>
      </c>
      <c r="AE44" s="146"/>
      <c r="AF44" s="147"/>
    </row>
    <row r="45" spans="1:32" ht="15.75" thickBot="1">
      <c r="F45" s="123" t="s">
        <v>100</v>
      </c>
      <c r="G45" s="124">
        <f t="shared" ref="G45:AD45" si="34">SUM(G39:G44)</f>
        <v>0</v>
      </c>
      <c r="H45" s="124">
        <f t="shared" si="34"/>
        <v>0</v>
      </c>
      <c r="I45" s="124">
        <f t="shared" si="34"/>
        <v>0</v>
      </c>
      <c r="J45" s="124">
        <f t="shared" si="34"/>
        <v>0</v>
      </c>
      <c r="K45" s="124">
        <f t="shared" si="34"/>
        <v>0</v>
      </c>
      <c r="L45" s="124">
        <f t="shared" si="34"/>
        <v>100000</v>
      </c>
      <c r="M45" s="124">
        <f t="shared" si="34"/>
        <v>85000</v>
      </c>
      <c r="N45" s="124">
        <f t="shared" si="34"/>
        <v>85000</v>
      </c>
      <c r="O45" s="124">
        <f t="shared" si="34"/>
        <v>85000</v>
      </c>
      <c r="P45" s="125">
        <f t="shared" si="34"/>
        <v>85000</v>
      </c>
      <c r="Q45" s="125">
        <f t="shared" si="34"/>
        <v>85000</v>
      </c>
      <c r="R45" s="125">
        <f t="shared" si="34"/>
        <v>55000</v>
      </c>
      <c r="S45" s="125">
        <f t="shared" si="34"/>
        <v>54000</v>
      </c>
      <c r="T45" s="125">
        <f t="shared" si="34"/>
        <v>51500</v>
      </c>
      <c r="U45" s="125">
        <f t="shared" si="34"/>
        <v>49100</v>
      </c>
      <c r="V45" s="125">
        <f t="shared" si="34"/>
        <v>499100</v>
      </c>
      <c r="W45" s="125">
        <f t="shared" si="34"/>
        <v>499100</v>
      </c>
      <c r="X45" s="125">
        <f t="shared" si="34"/>
        <v>589100</v>
      </c>
      <c r="Y45" s="125">
        <f t="shared" si="34"/>
        <v>589100</v>
      </c>
      <c r="Z45" s="125">
        <f t="shared" si="34"/>
        <v>592100</v>
      </c>
      <c r="AA45" s="125">
        <f t="shared" si="34"/>
        <v>592100</v>
      </c>
      <c r="AB45" s="125">
        <f t="shared" si="34"/>
        <v>591000</v>
      </c>
      <c r="AC45" s="125">
        <f t="shared" si="34"/>
        <v>588500</v>
      </c>
      <c r="AD45" s="125">
        <f t="shared" si="34"/>
        <v>586100</v>
      </c>
      <c r="AE45" s="148"/>
      <c r="AF45" s="149"/>
    </row>
    <row r="46" spans="1:32">
      <c r="L46" s="26"/>
      <c r="AE46" s="126"/>
      <c r="AF46" s="126"/>
    </row>
    <row r="47" spans="1:32">
      <c r="L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</row>
    <row r="48" spans="1:32">
      <c r="J48" s="26"/>
      <c r="K48" s="26"/>
      <c r="L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30"/>
      <c r="AF48" s="30"/>
    </row>
    <row r="49" spans="31:32">
      <c r="AE49" s="26"/>
      <c r="AF49" s="26"/>
    </row>
  </sheetData>
  <mergeCells count="62">
    <mergeCell ref="C38:D38"/>
    <mergeCell ref="C40:D40"/>
    <mergeCell ref="A35:B35"/>
    <mergeCell ref="C35:D35"/>
    <mergeCell ref="A36:B36"/>
    <mergeCell ref="C36:D36"/>
    <mergeCell ref="A40:B40"/>
    <mergeCell ref="A39:B39"/>
    <mergeCell ref="C39:D39"/>
    <mergeCell ref="A37:B37"/>
    <mergeCell ref="C37:D37"/>
    <mergeCell ref="A38:B38"/>
    <mergeCell ref="C31:D31"/>
    <mergeCell ref="A32:B32"/>
    <mergeCell ref="C32:D32"/>
    <mergeCell ref="A33:B33"/>
    <mergeCell ref="C33:D33"/>
    <mergeCell ref="A34:B34"/>
    <mergeCell ref="C34:D34"/>
    <mergeCell ref="A30:B30"/>
    <mergeCell ref="C30:D30"/>
    <mergeCell ref="A28:B28"/>
    <mergeCell ref="C28:D28"/>
    <mergeCell ref="A29:B29"/>
    <mergeCell ref="C29:D29"/>
    <mergeCell ref="A27:B27"/>
    <mergeCell ref="C27:D27"/>
    <mergeCell ref="A14:B14"/>
    <mergeCell ref="C14:D14"/>
    <mergeCell ref="A15:B16"/>
    <mergeCell ref="C15:D16"/>
    <mergeCell ref="A21:B21"/>
    <mergeCell ref="C21:D21"/>
    <mergeCell ref="A22:B22"/>
    <mergeCell ref="C17:D17"/>
    <mergeCell ref="A18:B18"/>
    <mergeCell ref="C18:D18"/>
    <mergeCell ref="AH5:AL5"/>
    <mergeCell ref="A26:B26"/>
    <mergeCell ref="C26:D26"/>
    <mergeCell ref="A6:D6"/>
    <mergeCell ref="A13:D13"/>
    <mergeCell ref="A25:B25"/>
    <mergeCell ref="C25:D25"/>
    <mergeCell ref="A31:B31"/>
    <mergeCell ref="AE34:AF45"/>
    <mergeCell ref="F5:AF5"/>
    <mergeCell ref="A20:B20"/>
    <mergeCell ref="C20:D20"/>
    <mergeCell ref="A19:B19"/>
    <mergeCell ref="C19:D19"/>
    <mergeCell ref="A17:B17"/>
    <mergeCell ref="A1:D1"/>
    <mergeCell ref="A3:D3"/>
    <mergeCell ref="A4:D4"/>
    <mergeCell ref="F4:G4"/>
    <mergeCell ref="C22:D22"/>
    <mergeCell ref="F34:P34"/>
    <mergeCell ref="A23:B23"/>
    <mergeCell ref="C23:D23"/>
    <mergeCell ref="A24:B24"/>
    <mergeCell ref="C24:D24"/>
  </mergeCells>
  <phoneticPr fontId="19" type="noConversion"/>
  <pageMargins left="0.78740157499999996" right="0.78740157499999996" top="0.984251969" bottom="0.984251969" header="0.49212598499999999" footer="0.49212598499999999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8"/>
  <sheetViews>
    <sheetView topLeftCell="A7" zoomScaleNormal="100" workbookViewId="0">
      <selection activeCell="A30" sqref="A30"/>
    </sheetView>
  </sheetViews>
  <sheetFormatPr defaultRowHeight="12.75"/>
  <cols>
    <col min="1" max="1" width="75.28515625" customWidth="1"/>
    <col min="2" max="2" width="19.140625" bestFit="1" customWidth="1"/>
    <col min="3" max="3" width="11.28515625" bestFit="1" customWidth="1"/>
  </cols>
  <sheetData>
    <row r="1" spans="1:2" ht="15">
      <c r="A1" s="1"/>
      <c r="B1" s="2"/>
    </row>
    <row r="2" spans="1:2" ht="15.75">
      <c r="A2" s="180" t="s">
        <v>0</v>
      </c>
      <c r="B2" s="181"/>
    </row>
    <row r="3" spans="1:2" ht="15.75">
      <c r="A3" s="182" t="s">
        <v>1</v>
      </c>
      <c r="B3" s="183"/>
    </row>
    <row r="4" spans="1:2" ht="15.75">
      <c r="A4" s="3"/>
      <c r="B4" s="4" t="s">
        <v>2</v>
      </c>
    </row>
    <row r="5" spans="1:2" ht="15">
      <c r="A5" s="5" t="s">
        <v>3</v>
      </c>
      <c r="B5" s="6"/>
    </row>
    <row r="6" spans="1:2" ht="15">
      <c r="A6" s="7" t="s">
        <v>4</v>
      </c>
      <c r="B6" s="20">
        <f>EXERCICIO_2!AD36</f>
        <v>550000</v>
      </c>
    </row>
    <row r="7" spans="1:2" ht="15">
      <c r="A7" s="7" t="s">
        <v>5</v>
      </c>
      <c r="B7" s="20">
        <v>-45000</v>
      </c>
    </row>
    <row r="8" spans="1:2" ht="15">
      <c r="A8" s="7"/>
      <c r="B8" s="20"/>
    </row>
    <row r="9" spans="1:2" ht="15">
      <c r="A9" s="9" t="s">
        <v>6</v>
      </c>
      <c r="B9" s="137">
        <f>SUM(B6:B8)</f>
        <v>505000</v>
      </c>
    </row>
    <row r="10" spans="1:2" ht="15">
      <c r="A10" s="7"/>
      <c r="B10" s="8"/>
    </row>
    <row r="11" spans="1:2" ht="15">
      <c r="A11" s="11" t="s">
        <v>7</v>
      </c>
      <c r="B11" s="8"/>
    </row>
    <row r="12" spans="1:2" ht="15">
      <c r="A12" s="7" t="s">
        <v>138</v>
      </c>
      <c r="B12" s="12">
        <f>'DFC - Método Indireto_2'!B19</f>
        <v>-450000</v>
      </c>
    </row>
    <row r="13" spans="1:2" ht="15">
      <c r="A13" s="7" t="s">
        <v>142</v>
      </c>
      <c r="B13" s="12">
        <f>'DFC - Método Indireto_2'!B20</f>
        <v>-20000</v>
      </c>
    </row>
    <row r="14" spans="1:2" ht="15">
      <c r="A14" s="7" t="s">
        <v>10</v>
      </c>
      <c r="B14" s="12">
        <f>'DFC - Método Indireto_2'!B21</f>
        <v>-210000</v>
      </c>
    </row>
    <row r="15" spans="1:2" ht="15">
      <c r="A15" s="7" t="s">
        <v>140</v>
      </c>
      <c r="B15" s="12">
        <f>'DFC - Método Indireto_2'!B22</f>
        <v>-5000</v>
      </c>
    </row>
    <row r="16" spans="1:2" ht="15">
      <c r="A16" s="7" t="s">
        <v>139</v>
      </c>
      <c r="B16" s="12">
        <f>'DFC - Método Indireto_2'!B23</f>
        <v>72000</v>
      </c>
    </row>
    <row r="17" spans="1:4" ht="15">
      <c r="A17" s="7" t="s">
        <v>141</v>
      </c>
      <c r="B17" s="12">
        <f>'DFC - Método Indireto_2'!B24</f>
        <v>3000</v>
      </c>
    </row>
    <row r="18" spans="1:4" ht="15">
      <c r="A18" s="9" t="s">
        <v>13</v>
      </c>
      <c r="B18" s="13">
        <f>SUM(B12:B17)</f>
        <v>-610000</v>
      </c>
    </row>
    <row r="19" spans="1:4" ht="15">
      <c r="A19" s="7"/>
      <c r="B19" s="8"/>
    </row>
    <row r="20" spans="1:4" ht="15">
      <c r="A20" s="11" t="s">
        <v>14</v>
      </c>
      <c r="B20" s="8"/>
    </row>
    <row r="21" spans="1:4" ht="15">
      <c r="A21" s="1" t="s">
        <v>15</v>
      </c>
      <c r="B21" s="12">
        <f>'DFC - Método Indireto_2'!B28</f>
        <v>-556795</v>
      </c>
    </row>
    <row r="22" spans="1:4" ht="15">
      <c r="A22" s="7"/>
      <c r="B22" s="8"/>
    </row>
    <row r="23" spans="1:4" ht="15">
      <c r="A23" s="9" t="s">
        <v>16</v>
      </c>
      <c r="B23" s="137">
        <f>SUM(B21:B22)</f>
        <v>-556795</v>
      </c>
    </row>
    <row r="24" spans="1:4" ht="15">
      <c r="A24" s="7"/>
      <c r="B24" s="14"/>
    </row>
    <row r="25" spans="1:4" ht="15">
      <c r="A25" s="9" t="s">
        <v>17</v>
      </c>
      <c r="B25" s="10">
        <f>B28-B27</f>
        <v>-661795</v>
      </c>
      <c r="C25" s="136"/>
      <c r="D25" s="136"/>
    </row>
    <row r="26" spans="1:4" ht="15">
      <c r="A26" s="7"/>
      <c r="B26" s="8"/>
    </row>
    <row r="27" spans="1:4" ht="15">
      <c r="A27" s="9" t="s">
        <v>18</v>
      </c>
      <c r="B27" s="13">
        <f>'DFC - Método Indireto_2'!B34</f>
        <v>1500000</v>
      </c>
    </row>
    <row r="28" spans="1:4" ht="15">
      <c r="A28" s="15" t="s">
        <v>19</v>
      </c>
      <c r="B28" s="16">
        <f>'DFC - Método Indireto_2'!B35</f>
        <v>838205</v>
      </c>
    </row>
  </sheetData>
  <mergeCells count="2">
    <mergeCell ref="A2:B2"/>
    <mergeCell ref="A3:B3"/>
  </mergeCells>
  <phoneticPr fontId="19" type="noConversion"/>
  <pageMargins left="0.39370078740157483" right="0.39370078740157483" top="0.98425196850393704" bottom="0.98425196850393704" header="0.51181102362204722" footer="0.51181102362204722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D35"/>
  <sheetViews>
    <sheetView topLeftCell="A4" zoomScaleNormal="100" workbookViewId="0">
      <selection activeCell="A27" sqref="A27"/>
    </sheetView>
  </sheetViews>
  <sheetFormatPr defaultRowHeight="15"/>
  <cols>
    <col min="1" max="1" width="75.28515625" style="1" customWidth="1"/>
    <col min="2" max="2" width="18.7109375" style="2" bestFit="1" customWidth="1"/>
    <col min="3" max="3" width="13.7109375" bestFit="1" customWidth="1"/>
    <col min="4" max="4" width="11.28515625" bestFit="1" customWidth="1"/>
  </cols>
  <sheetData>
    <row r="2" spans="1:2" ht="15.75">
      <c r="A2" s="180" t="s">
        <v>20</v>
      </c>
      <c r="B2" s="181"/>
    </row>
    <row r="3" spans="1:2" ht="15.75">
      <c r="A3" s="182" t="s">
        <v>1</v>
      </c>
      <c r="B3" s="183"/>
    </row>
    <row r="4" spans="1:2" ht="15.75">
      <c r="A4" s="3"/>
      <c r="B4" s="4" t="s">
        <v>2</v>
      </c>
    </row>
    <row r="5" spans="1:2">
      <c r="A5" s="5" t="s">
        <v>3</v>
      </c>
      <c r="B5" s="6"/>
    </row>
    <row r="6" spans="1:2">
      <c r="A6" s="7" t="s">
        <v>137</v>
      </c>
      <c r="B6" s="12">
        <f>EXERCICIO_2!AD45</f>
        <v>586100</v>
      </c>
    </row>
    <row r="7" spans="1:2">
      <c r="A7" s="7" t="s">
        <v>21</v>
      </c>
      <c r="B7" s="8"/>
    </row>
    <row r="8" spans="1:2">
      <c r="A8" s="17" t="s">
        <v>22</v>
      </c>
      <c r="B8" s="12">
        <f>-EXERCICIO_2!AD42</f>
        <v>11900</v>
      </c>
    </row>
    <row r="9" spans="1:2">
      <c r="A9" s="17" t="s">
        <v>23</v>
      </c>
      <c r="B9" s="12">
        <f>-EXERCICIO_2!AD43</f>
        <v>-90000</v>
      </c>
    </row>
    <row r="10" spans="1:2">
      <c r="A10" s="17" t="s">
        <v>24</v>
      </c>
      <c r="B10" s="12">
        <f>-EXERCICIO_2!AD44</f>
        <v>-3000</v>
      </c>
    </row>
    <row r="11" spans="1:2">
      <c r="A11" s="18" t="s">
        <v>25</v>
      </c>
      <c r="B11" s="12">
        <f>SUM(B6:B10)</f>
        <v>505000</v>
      </c>
    </row>
    <row r="12" spans="1:2">
      <c r="A12" s="18"/>
      <c r="B12" s="12"/>
    </row>
    <row r="13" spans="1:2">
      <c r="A13" s="7" t="s">
        <v>26</v>
      </c>
      <c r="B13" s="12">
        <f>-EXERCICIO_2!AF10</f>
        <v>-60000</v>
      </c>
    </row>
    <row r="14" spans="1:2">
      <c r="A14" s="7" t="s">
        <v>27</v>
      </c>
      <c r="B14" s="12">
        <f>EXERCICIO_2!AF25</f>
        <v>30000</v>
      </c>
    </row>
    <row r="15" spans="1:2">
      <c r="A15" s="7" t="s">
        <v>144</v>
      </c>
      <c r="B15" s="12">
        <f>EXERCICIO_2!AF27</f>
        <v>30000</v>
      </c>
    </row>
    <row r="16" spans="1:2">
      <c r="A16" s="9" t="s">
        <v>6</v>
      </c>
      <c r="B16" s="13">
        <f>SUM(B11:B15)</f>
        <v>505000</v>
      </c>
    </row>
    <row r="17" spans="1:4">
      <c r="A17" s="7"/>
      <c r="B17" s="8"/>
    </row>
    <row r="18" spans="1:4">
      <c r="A18" s="11" t="s">
        <v>7</v>
      </c>
      <c r="B18" s="8"/>
    </row>
    <row r="19" spans="1:4">
      <c r="A19" s="7" t="s">
        <v>138</v>
      </c>
      <c r="B19" s="12">
        <f>-EXERCICIO_2!N13</f>
        <v>-450000</v>
      </c>
    </row>
    <row r="20" spans="1:4">
      <c r="A20" s="7" t="s">
        <v>142</v>
      </c>
      <c r="B20" s="12">
        <f>-EXERCICIO_2!O14</f>
        <v>-20000</v>
      </c>
    </row>
    <row r="21" spans="1:4">
      <c r="A21" s="7" t="s">
        <v>10</v>
      </c>
      <c r="B21" s="12">
        <f>-EXERCICIO_2!N17-EXERCICIO_2!N18-EXERCICIO_2!N19</f>
        <v>-210000</v>
      </c>
    </row>
    <row r="22" spans="1:4">
      <c r="A22" s="7" t="s">
        <v>140</v>
      </c>
      <c r="B22" s="12">
        <f>-EXERCICIO_2!P15</f>
        <v>-5000</v>
      </c>
    </row>
    <row r="23" spans="1:4">
      <c r="A23" s="7" t="s">
        <v>139</v>
      </c>
      <c r="B23" s="20">
        <f>72000</f>
        <v>72000</v>
      </c>
    </row>
    <row r="24" spans="1:4">
      <c r="A24" s="7" t="s">
        <v>141</v>
      </c>
      <c r="B24" s="20">
        <v>3000</v>
      </c>
    </row>
    <row r="25" spans="1:4">
      <c r="A25" s="9" t="s">
        <v>28</v>
      </c>
      <c r="B25" s="13">
        <f>SUM(B19:B24)</f>
        <v>-610000</v>
      </c>
    </row>
    <row r="26" spans="1:4">
      <c r="A26" s="7"/>
      <c r="B26" s="19"/>
    </row>
    <row r="27" spans="1:4">
      <c r="A27" s="11" t="s">
        <v>14</v>
      </c>
      <c r="B27" s="8"/>
    </row>
    <row r="28" spans="1:4">
      <c r="A28" s="1" t="s">
        <v>15</v>
      </c>
      <c r="B28" s="20">
        <f>-EXERCICIO_2!AE31</f>
        <v>-556795</v>
      </c>
    </row>
    <row r="29" spans="1:4">
      <c r="A29" s="7"/>
      <c r="B29" s="21"/>
    </row>
    <row r="30" spans="1:4">
      <c r="A30" s="9" t="s">
        <v>16</v>
      </c>
      <c r="B30" s="13">
        <f>SUM(B28:B29)</f>
        <v>-556795</v>
      </c>
      <c r="C30" s="136"/>
      <c r="D30" s="136"/>
    </row>
    <row r="31" spans="1:4">
      <c r="A31" s="7"/>
      <c r="B31" s="14"/>
    </row>
    <row r="32" spans="1:4">
      <c r="A32" s="9" t="s">
        <v>17</v>
      </c>
      <c r="B32" s="137">
        <f>B35-B34</f>
        <v>-661795</v>
      </c>
    </row>
    <row r="33" spans="1:2">
      <c r="A33" s="7"/>
      <c r="B33" s="8"/>
    </row>
    <row r="34" spans="1:2">
      <c r="A34" s="9" t="s">
        <v>18</v>
      </c>
      <c r="B34" s="13">
        <f>EXERCICIO_2!B8+EXERCICIO_2!B9</f>
        <v>1500000</v>
      </c>
    </row>
    <row r="35" spans="1:2">
      <c r="A35" s="15" t="s">
        <v>19</v>
      </c>
      <c r="B35" s="16">
        <f>EXERCICIO_2!AF8+EXERCICIO_2!AF9</f>
        <v>838205</v>
      </c>
    </row>
  </sheetData>
  <mergeCells count="2">
    <mergeCell ref="A2:B2"/>
    <mergeCell ref="A3:B3"/>
  </mergeCells>
  <phoneticPr fontId="19" type="noConversion"/>
  <pageMargins left="0.39370078740157483" right="0.39370078740157483" top="0.59055118110236227" bottom="0.59055118110236227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Exercicio_1 - Balanço Sucessivo</vt:lpstr>
      <vt:lpstr>DFC - Método Direto_1</vt:lpstr>
      <vt:lpstr>DFC - Método Indireto_1</vt:lpstr>
      <vt:lpstr>EXERCICIO_2</vt:lpstr>
      <vt:lpstr>DFC - Método Direto_2</vt:lpstr>
      <vt:lpstr>DFC - Método Indireto_2</vt:lpstr>
      <vt:lpstr>'DFC - Método Direto_1'!Area_de_impressao</vt:lpstr>
      <vt:lpstr>'DFC - Método Direto_2'!Area_de_impressao</vt:lpstr>
      <vt:lpstr>'DFC - Método Indireto_1'!Area_de_impressao</vt:lpstr>
      <vt:lpstr>'DFC - Método Indireto_2'!Area_de_impressao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sti</cp:lastModifiedBy>
  <dcterms:created xsi:type="dcterms:W3CDTF">2010-05-13T01:07:30Z</dcterms:created>
  <dcterms:modified xsi:type="dcterms:W3CDTF">2010-05-13T13:41:55Z</dcterms:modified>
</cp:coreProperties>
</file>